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C:\Users\RachelZhang\Downloads\"/>
    </mc:Choice>
  </mc:AlternateContent>
  <xr:revisionPtr revIDLastSave="0" documentId="13_ncr:1_{37EF58A6-7435-4974-8868-76403A270535}" xr6:coauthVersionLast="45" xr6:coauthVersionMax="45" xr10:uidLastSave="{00000000-0000-0000-0000-000000000000}"/>
  <bookViews>
    <workbookView xWindow="-120" yWindow="-120" windowWidth="29040" windowHeight="15840" xr2:uid="{00000000-000D-0000-FFFF-FFFF00000000}"/>
  </bookViews>
  <sheets>
    <sheet name="Front Page" sheetId="1" r:id="rId1"/>
    <sheet name="Model" sheetId="2" r:id="rId2"/>
    <sheet name="Supplemental Data" sheetId="7" r:id="rId3"/>
    <sheet name="Guidance" sheetId="6" r:id="rId4"/>
    <sheet name="Summary Page" sheetId="5" r:id="rId5"/>
    <sheet name="Update Log" sheetId="4" r:id="rId6"/>
  </sheets>
  <definedNames>
    <definedName name="_xlnm._FilterDatabase" localSheetId="3" hidden="1">Guidance!$A$5:$T$5</definedName>
    <definedName name="AA.AlternatePriceSourceStartPeriod">"FY2010"</definedName>
    <definedName name="AA.CompareQuarters.LatestMRQ">"Q1-2020"</definedName>
    <definedName name="AA.CSIN">"GMEG0H0133"</definedName>
    <definedName name="AA.DBMacroVersion">"1.0.13.0"</definedName>
    <definedName name="AA.HardcodeChecker.LatestMRQ">"Q3-2019"</definedName>
    <definedName name="AA.ModelChecks.LatestMRQ">"Q3-2021"</definedName>
    <definedName name="AA.ModelChecks.LatestVersionNumber">"2.41.2.0"</definedName>
    <definedName name="AA.ModelColorScheme">"Canalyst"</definedName>
    <definedName name="AA.ModelUpdateStatus.AddingNewRows">"FALSE"</definedName>
    <definedName name="AA.ModelUpdateStatus.ChangeInDrivers">"FALSE"</definedName>
    <definedName name="AA.ModelUpdateStatus.ReorganizationOfRows">"FALSE"</definedName>
    <definedName name="AA.ModelVersion">"Q3-2021.36"</definedName>
    <definedName name="AA.PeriodLayout">"QFY"</definedName>
    <definedName name="AA.PersonalMacro.VersionNumber">""</definedName>
    <definedName name="AA.SessionToUploadId">""</definedName>
    <definedName name="AA.StartWorkModelVersion">"Q3-2021.35"</definedName>
    <definedName name="AA.StartWorkType">""</definedName>
    <definedName name="AA.SubyearType">"Q"</definedName>
    <definedName name="AA.TemplateUpgradeAttempted">"TRUE"</definedName>
    <definedName name="AA.TemplateVersion">"7.4.2.0"</definedName>
    <definedName name="AA.UpdateType">"Regular"</definedName>
    <definedName name="FP.DataSource">'Front Page'!$H$16</definedName>
    <definedName name="FP.DataSourceName">'Front Page'!$H$15</definedName>
    <definedName name="FP.Disclaimer">'Front Page'!$C$22</definedName>
    <definedName name="FP.LastPrice">'Front Page'!$H$20</definedName>
    <definedName name="FP.LastPriceDate">'Front Page'!$F$20</definedName>
    <definedName name="FP.RealTimeToggle">'Front Page'!$H$18</definedName>
    <definedName name="FP.UpdateDate">'Front Page'!$H$11</definedName>
    <definedName name="FP.UpdateEvent">'Front Page'!$H$13</definedName>
    <definedName name="FP_Comment">'Front Page'!$P$9:$P$16</definedName>
    <definedName name="FP_StockPriceOverride">'Front Page'!$C$20:$H$20</definedName>
    <definedName name="GD.CompanyName">Guidance!$B$1</definedName>
    <definedName name="GD.MRQ">Guidance!$F$2</definedName>
    <definedName name="GD_Difference_Mid_Absolute">Guidance!$O:$O</definedName>
    <definedName name="GD_Difference_Mid_Relative">Guidance!$P:$P</definedName>
    <definedName name="GD_Guidance_High">Guidance!$I:$I</definedName>
    <definedName name="GD_Guidance_Low">Guidance!$H:$H</definedName>
    <definedName name="GD_Guidance_Mid">Guidance!$J:$J</definedName>
    <definedName name="GD_Header_Column">Guidance!$5:$5</definedName>
    <definedName name="GD_Header_Section">Guidance!$4:$4</definedName>
    <definedName name="GD_Index">Guidance!$A:$A</definedName>
    <definedName name="GD_Item">Guidance!$D:$D</definedName>
    <definedName name="GD_Item_FiscalPeriod">Guidance!$F:$F</definedName>
    <definedName name="GD_Item_Name">Guidance!$E:$E</definedName>
    <definedName name="GD_Model_Output">Guidance!$M:$M</definedName>
    <definedName name="GD_Model_Type">Guidance!$L:$L</definedName>
    <definedName name="GD_Type">Guidance!$B:$B</definedName>
    <definedName name="GD_Update_Date">Guidance!$R:$R</definedName>
    <definedName name="GD_Update_Link">Guidance!$S:$S</definedName>
    <definedName name="HP.MRFX">Model!$B$890</definedName>
    <definedName name="HP.ReportCurrency">Model!$B$889</definedName>
    <definedName name="HP.Ticker">Model!$A$2</definedName>
    <definedName name="HP.TradeCurrency">Model!$B$887</definedName>
    <definedName name="HP.TradeCurrency.HardCoded">Model!$B$888</definedName>
    <definedName name="MO.CFY">Model!$B$894</definedName>
    <definedName name="MO.CompanyName">Model!$A$1</definedName>
    <definedName name="MO.DataSourceIndex">Model!$B$896</definedName>
    <definedName name="MO.DataSourceName">Model!$A$4</definedName>
    <definedName name="MO.FirstForecastedFiscalYear">Model!$B$895</definedName>
    <definedName name="MO.LastPrice">Model!$B$3</definedName>
    <definedName name="MO.LastPriceDate">Model!$B$884</definedName>
    <definedName name="MO.LastPriceFormula">Model!$B$886</definedName>
    <definedName name="MO.LastPriceHardcoded">Model!$B$883</definedName>
    <definedName name="MO.MRFP">Model!$B$893</definedName>
    <definedName name="MO.MRFPColumnNumber">Model!$B$892</definedName>
    <definedName name="MO.MRFX.Hardcoded">Model!$B$891</definedName>
    <definedName name="MO.RealTime">Model!$B$4</definedName>
    <definedName name="MO.RealTimeStockPriceToggle">Model!$B$885</definedName>
    <definedName name="MO.ReportCurrency">Model!$B$889</definedName>
    <definedName name="MO.ReportFX">Model!$A$5</definedName>
    <definedName name="MO.Ticker">Model!$A$2</definedName>
    <definedName name="MO.Ticker.Bloomberg">Model!$A$819</definedName>
    <definedName name="MO.Ticker.CapIQ">Model!$A$820</definedName>
    <definedName name="MO.Ticker.FactSet">Model!$A$821</definedName>
    <definedName name="MO.Ticker.Thomson">Model!$A$822</definedName>
    <definedName name="MO.TradingCurrency">Model!$A$3</definedName>
    <definedName name="MO.ValuationToggle">Model!$B$470</definedName>
    <definedName name="MO_AN_NI_NONGAAP_Diluted">Model!$368:$368</definedName>
    <definedName name="MO_BS_AP">Model!$752:$752</definedName>
    <definedName name="MO_BS_AR">Model!$718:$718</definedName>
    <definedName name="MO_BS_CA">Model!$725:$725</definedName>
    <definedName name="MO_BS_Cash">Model!$715:$715</definedName>
    <definedName name="MO_BS_CL">Model!$763:$763</definedName>
    <definedName name="MO_BS_CommonStock">Model!$782:$782</definedName>
    <definedName name="MO_BS_ContributedSurplus">Model!$783:$783</definedName>
    <definedName name="MO_BS_DefRev">Model!$756:$756</definedName>
    <definedName name="MO_BS_DefRev_NonCurrent">Model!$769:$769</definedName>
    <definedName name="MO_BS_Goodwill">Model!$744:$744</definedName>
    <definedName name="MO_BS_Intangibles">Model!$743:$743</definedName>
    <definedName name="MO_BS_INV">Model!$723:$723</definedName>
    <definedName name="MO_BS_NCA">Model!$748:$748</definedName>
    <definedName name="MO_BS_NCI">Model!$787:$787</definedName>
    <definedName name="MO_BS_NCL">Model!$777:$777</definedName>
    <definedName name="MO_BS_OCI">Model!$784:$784</definedName>
    <definedName name="MO_BS_PPE">Model!$740:$740</definedName>
    <definedName name="MO_BS_PrepaidExpensesAndOther">Model!$724:$724</definedName>
    <definedName name="MO_BS_RestrictedCash_Current">Model!$717:$717</definedName>
    <definedName name="MO_BS_RestrictedCash_NonCurrent">Model!$746:$746</definedName>
    <definedName name="MO_BS_RetainedEarnings">Model!$785:$785</definedName>
    <definedName name="MO_BS_SE">Model!$786:$786</definedName>
    <definedName name="MO_BS_STInvestments">Model!$716:$716</definedName>
    <definedName name="MO_BS_TA">Model!$749:$749</definedName>
    <definedName name="MO_BS_TaxLiabilities_Deferred_Current">Model!$760:$760</definedName>
    <definedName name="MO_BS_TL">Model!$778:$778</definedName>
    <definedName name="MO_BS_TLSE">Model!$788:$788</definedName>
    <definedName name="MO_BSS_Cash">Model!$452:$452</definedName>
    <definedName name="MO_BSS_Debt">Model!$455:$455</definedName>
    <definedName name="MO_BSS_Debt_LT">Model!$454:$454</definedName>
    <definedName name="MO_BSS_Debt_Net">Model!$456:$456</definedName>
    <definedName name="MO_BSS_Debt_ST">Model!$453:$453</definedName>
    <definedName name="MO_BSS_Debt_ToCF">Model!$467:$467</definedName>
    <definedName name="MO_BSS_Debt_ToEBITDA">Model!$466:$466</definedName>
    <definedName name="MO_BSS_IE">Model!$458:$458</definedName>
    <definedName name="MO_BSS_IE_Net">Model!$462:$462</definedName>
    <definedName name="MO_BSS_II">Model!$460:$460</definedName>
    <definedName name="MO_BSS_InterestRate_Cash">Model!$461:$461</definedName>
    <definedName name="MO_BSS_InterestRate_Debt">Model!$459:$459</definedName>
    <definedName name="MO_BSS_NetInterestCoverage">Model!$465:$465</definedName>
    <definedName name="MO_BSS_NetInterestRate_Debt">Model!$463:$463</definedName>
    <definedName name="MO_CCFS_Balance_Begin">Model!$576:$576</definedName>
    <definedName name="MO_CCFS_Balance_End">Model!$577:$577</definedName>
    <definedName name="MO_CCFS_CFF">Model!$571:$571</definedName>
    <definedName name="MO_CCFS_CFI">Model!$541:$541</definedName>
    <definedName name="MO_CCFS_CFO">Model!$526:$526</definedName>
    <definedName name="MO_CCFS_CFO_BeforeWC">Model!$510:$510</definedName>
    <definedName name="MO_CCFS_FX">Model!$573:$573</definedName>
    <definedName name="MO_CCFS_NetChange">Model!$574:$574</definedName>
    <definedName name="MO_CCFS_Sup_CashInterest">Model!$579:$579</definedName>
    <definedName name="MO_CCFS_Sup_CashTax">Model!$580:$580</definedName>
    <definedName name="MO_CFS_Balance_Begin">Model!$666:$666</definedName>
    <definedName name="MO_CFS_Balance_End">Model!$667:$667</definedName>
    <definedName name="MO_CFS_Buyback">Model!$652:$652</definedName>
    <definedName name="MO_CFS_CFF">Model!$661:$661</definedName>
    <definedName name="MO_CFS_CFI">Model!$631:$631</definedName>
    <definedName name="MO_CFS_CFO">Model!$616:$616</definedName>
    <definedName name="MO_CFS_CFO_BeforeWC">Model!$600:$600</definedName>
    <definedName name="MO_CFS_FX">Model!$663:$663</definedName>
    <definedName name="MO_CFS_NetChange">Model!$664:$664</definedName>
    <definedName name="MO_CFS_NI">Model!$584:$584</definedName>
    <definedName name="MO_CFS_SBC">Model!$586:$586</definedName>
    <definedName name="MO_CFS_Sup_CashInterest">Model!$669:$669</definedName>
    <definedName name="MO_CFS_Sup_CashTax">Model!$670:$670</definedName>
    <definedName name="MO_CFSum_Acquisition">Model!$437:$437</definedName>
    <definedName name="MO_CFSum_Capex">Model!$435:$435</definedName>
    <definedName name="MO_CFSum_CFO_BeforeWC">Model!$432:$432</definedName>
    <definedName name="MO_CFSum_CFPS">Model!$433:$433</definedName>
    <definedName name="MO_CFSum_Divestiture">Model!$438:$438</definedName>
    <definedName name="MO_CFSum_Dividend">Model!$439:$439</definedName>
    <definedName name="MO_CFSum_DPS">Model!$440:$440</definedName>
    <definedName name="MO_CFSum_FCF_PostDivPostAD">Model!$448:$448</definedName>
    <definedName name="MO_CFSum_FCF_PostDivPostADPostDebtPostBuyback">Model!$449:$449</definedName>
    <definedName name="MO_CFSum_FCF_PostDivPreAD">Model!$447:$447</definedName>
    <definedName name="MO_CFSum_FCF_PreDiv">Model!$446:$446</definedName>
    <definedName name="MO_CFSum_NetDebtIssuance">Model!$442:$442</definedName>
    <definedName name="MO_CFSum_NetShares">Model!$443:$443</definedName>
    <definedName name="MO_CFSum_NetShares_Price">Model!$444:$444</definedName>
    <definedName name="MO_Checks_Bottom">Model!$C$793:$XFD$814</definedName>
    <definedName name="MO_Checks_BS">Model!$790:$790</definedName>
    <definedName name="MO_Checks_CF">Model!$672:$672</definedName>
    <definedName name="MO_Checks_IS">Model!$358:$358</definedName>
    <definedName name="MO_Common_Column_A">Model!$A:$A</definedName>
    <definedName name="MO_Common_Column_B">Model!$B:$B</definedName>
    <definedName name="MO_Common_ColumnHeader">Model!$5:$5</definedName>
    <definedName name="MO_Common_CompanySubtitle">Model!$2:$2</definedName>
    <definedName name="MO_Common_CompanyTitle">Model!$1:$1</definedName>
    <definedName name="MO_Common_FPDays">Model!$3:$3</definedName>
    <definedName name="MO_Common_QEndDate">Model!$4:$4</definedName>
    <definedName name="MO_DAF_A">Model!$699:$699</definedName>
    <definedName name="MO_DAF_A_Percentage">Model!$705:$705</definedName>
    <definedName name="MO_DAF_Capex">Model!$710:$710</definedName>
    <definedName name="MO_DAF_D">Model!$693:$693</definedName>
    <definedName name="MO_DAF_D_Percentage">Model!$704:$704</definedName>
    <definedName name="MO_DAF_DA">Model!$709:$709</definedName>
    <definedName name="MO_DAF_Intangibles_BoP">Model!$698:$698</definedName>
    <definedName name="MO_DAF_Intangibles_Capex">Model!$700:$700</definedName>
    <definedName name="MO_DAF_Intangibles_Capex_Percent">Model!$711:$711</definedName>
    <definedName name="MO_DAF_Intangibles_EoP">Model!$702:$702</definedName>
    <definedName name="MO_DAF_Intangibles_Life">Model!$707:$707</definedName>
    <definedName name="MO_DAF_Intangibles_Other">Model!$701:$701</definedName>
    <definedName name="MO_DAF_PPE_BoP">Model!$692:$692</definedName>
    <definedName name="MO_DAF_PPE_Capex">Model!$694:$694</definedName>
    <definedName name="MO_DAF_PPE_EoP">Model!$696:$696</definedName>
    <definedName name="MO_DAF_PPE_Life">Model!$706:$706</definedName>
    <definedName name="MO_DAF_PPE_Other">Model!$695:$695</definedName>
    <definedName name="MO_IS_EBIT">Model!$348:$348</definedName>
    <definedName name="MO_IS_EBT">Model!$352:$352</definedName>
    <definedName name="MO_IS_FirstRow">Model!$333:$333</definedName>
    <definedName name="MO_IS_GP">Model!$343:$343</definedName>
    <definedName name="MO_IS_NI_ContinOp">Model!$354:$354</definedName>
    <definedName name="MO_IS_REV">Model!$337:$337</definedName>
    <definedName name="MO_MA_COGS">Model!$312:$312</definedName>
    <definedName name="MO_MA_COGS_DA_Excluding">Model!$309:$309</definedName>
    <definedName name="MO_MA_DA">Model!$326:$326</definedName>
    <definedName name="MO_MA_EBIT">Model!$322:$322</definedName>
    <definedName name="MO_MA_EBIT_Adj">Model!$323:$323</definedName>
    <definedName name="MO_MA_EBITDA">Model!$328:$328</definedName>
    <definedName name="MO_MA_EBITDA_Adj">Model!$329:$329</definedName>
    <definedName name="MO_MA_GM">Model!$317:$317</definedName>
    <definedName name="MO_MA_GM_DA_Excluding">Model!$310:$310</definedName>
    <definedName name="MO_MA_RD">Model!$321:$321</definedName>
    <definedName name="MO_MA_SBC">Model!$327:$327</definedName>
    <definedName name="MO_MA_SGA">Model!$320:$320</definedName>
    <definedName name="MO_OS_REV_Automotive">Model!$224:$224</definedName>
    <definedName name="MO_OS_REV_FinanceInsurance">Model!$225:$225</definedName>
    <definedName name="MO_OS_Unit_Price">Model!$113:$113</definedName>
    <definedName name="MO_OS_Unit_Price_Growth">Model!$115:$115</definedName>
    <definedName name="MO_OS_Unit_Volume">Model!$99:$99</definedName>
    <definedName name="MO_OS_Vehicle_Production">Model!$63:$63</definedName>
    <definedName name="MO_RIS_Adjustments_Dilution_GAAP">Model!$413:$413</definedName>
    <definedName name="MO_RIS_Adjustments_Dilution_NONGAAP">Model!$416:$416</definedName>
    <definedName name="MO_RIS_Adjustments_NONGAAP">Model!$415:$415</definedName>
    <definedName name="MO_RIS_COGS">Model!$384:$384</definedName>
    <definedName name="MO_RIS_DA">Model!$394:$394</definedName>
    <definedName name="MO_RIS_DisCont">Model!$409:$409</definedName>
    <definedName name="MO_RIS_Dividend_Prefs">Model!$411:$411</definedName>
    <definedName name="MO_RIS_EBIT">Model!$390:$390</definedName>
    <definedName name="MO_RIS_EBIT_Adj">Model!$391:$391</definedName>
    <definedName name="MO_RIS_EBITDA">Model!$396:$396</definedName>
    <definedName name="MO_RIS_EBITDA_Adj">Model!$397:$397</definedName>
    <definedName name="MO_RIS_EBT">Model!$404:$404</definedName>
    <definedName name="MO_RIS_EPS_WAB">Model!$422:$422</definedName>
    <definedName name="MO_RIS_EPS_WAD">Model!$423:$423</definedName>
    <definedName name="MO_RIS_EPS_WAD_Adj">Model!$424:$424</definedName>
    <definedName name="MO_RIS_GP">Model!$385:$385</definedName>
    <definedName name="MO_RIS_IE">Model!$400:$400</definedName>
    <definedName name="MO_RIS_II">Model!$401:$401</definedName>
    <definedName name="MO_RIS_NCI">Model!$410:$410</definedName>
    <definedName name="MO_RIS_NI_ContinOp">Model!$408:$408</definedName>
    <definedName name="MO_RIS_NI_GAAP_Basic">Model!$412:$412</definedName>
    <definedName name="MO_RIS_NI_GAAP_Diluted">Model!$414:$414</definedName>
    <definedName name="MO_RIS_NI_NONGAAP_Diluted">Model!$417:$417</definedName>
    <definedName name="MO_RIS_OI">Model!$402:$402</definedName>
    <definedName name="MO_RIS_OTI">Model!$403:$403</definedName>
    <definedName name="MO_RIS_OTI_Operating">Model!$389:$389</definedName>
    <definedName name="MO_RIS_RD">Model!$388:$388</definedName>
    <definedName name="MO_RIS_REV">Model!$381:$381</definedName>
    <definedName name="MO_RIS_SBC">Model!$395:$395</definedName>
    <definedName name="MO_RIS_SGA">Model!$387:$387</definedName>
    <definedName name="MO_RIS_ShareCount_WAB">Model!$427:$427</definedName>
    <definedName name="MO_RIS_ShareCount_WAD">Model!$428:$428</definedName>
    <definedName name="MO_RIS_ShareCount_WAD_Adj">Model!$429:$429</definedName>
    <definedName name="MO_RIS_Tax_Current">Model!$406:$406</definedName>
    <definedName name="MO_RIS_Tax_Deferred">Model!$407:$407</definedName>
    <definedName name="MO_RIS_TaxRate_Current">Model!$419:$419</definedName>
    <definedName name="MO_RIS_TaxRate_Deferred">Model!$420:$420</definedName>
    <definedName name="MO_Section_AdjustedNumbers">Model!$360:$360</definedName>
    <definedName name="MO_Section_BalanceSheet">Model!$713:$713</definedName>
    <definedName name="MO_Section_BalanceSheetSummary">Model!$451:$451</definedName>
    <definedName name="MO_Section_Canalyst">'Supplemental Data'!$108:$108</definedName>
    <definedName name="MO_Section_CashFlowStatement">Model!$582:$582</definedName>
    <definedName name="MO_Section_CashFlowSummary">Model!$431:$431</definedName>
    <definedName name="MO_Section_CumulativeCashFlowStatement">Model!$492:$492</definedName>
    <definedName name="MO_Section_DAForecasting">Model!$691:$691</definedName>
    <definedName name="MO_Section_IncomeStatement">Model!$332:$332</definedName>
    <definedName name="MO_Section_KeyMetricsAccruedWarrantyFS">'Supplemental Data'!$6:$6</definedName>
    <definedName name="MO_Section_KeyMetricsDetailedAccountActivityrelatedtoResaleValueGuaranteeProgramandLeaseMDA">'Supplemental Data'!$41:$41</definedName>
    <definedName name="MO_Section_KeyMetricsHistorical">'Supplemental Data'!$40:$40</definedName>
    <definedName name="MO_Section_KeyMetricsLeaseCostandRentExpenseFS">'Supplemental Data'!$31:$31</definedName>
    <definedName name="MO_Section_KeyMetricsLeasedVehiclesDeliveredHistorical">'Supplemental Data'!$67:$67</definedName>
    <definedName name="MO_Section_KeyMetricsRevenueBreakdownbyGeographyFS">'Supplemental Data'!$15:$15</definedName>
    <definedName name="MO_Section_KeyMetricsSolarCitySegmentHistorical">'Supplemental Data'!$74:$74</definedName>
    <definedName name="MO_Section_KeyMetricsSupportNetworkPR">Model!$300:$300</definedName>
    <definedName name="MO_Section_LastRow">Model!$898:$898</definedName>
    <definedName name="MO_Section_MarginAnalysis">Model!$308:$308</definedName>
    <definedName name="MO_Section_ModelChecks">Model!$792:$792</definedName>
    <definedName name="MO_Section_OperatingExpenseForecasting">Model!$254:$254</definedName>
    <definedName name="MO_Section_OperatingStatsAutomotiveDeliveriesPR">Model!$84:$84</definedName>
    <definedName name="MO_Section_OperatingStatsAutomotiveLeaseMDA">Model!$133:$133</definedName>
    <definedName name="MO_Section_OperatingStatsEnergyGenerationandStorageMDA">Model!$194:$194</definedName>
    <definedName name="MO_Section_OperatingStatsProductionandCapacityPR">Model!$53:$53</definedName>
    <definedName name="MO_Section_RevisedIncomeStatement">Model!$380:$380</definedName>
    <definedName name="MO_Section_SBCDABreakdownFSPR">Model!$287:$287</definedName>
    <definedName name="MO_Section_SegmentedResultsBreakdownFS">Model!$6:$6</definedName>
    <definedName name="MO_Section_SegmentedResultsRevenueBreakdownbyGeographyHistorical">'Supplemental Data'!$102:$102</definedName>
    <definedName name="MO_Section_SegmentedResultsServicesandOtherFSPR">Model!$180:$180</definedName>
    <definedName name="MO_Section_SegmentSummary">Model!$223:$223</definedName>
    <definedName name="MO_Section_Tables">Model!$816:$816</definedName>
    <definedName name="MO_Section_Valuation">Model!$469:$469</definedName>
    <definedName name="MO_Section_WorkingCapitalForecasting">Model!$674:$674</definedName>
    <definedName name="MO_SNA_ConsensusEstimatePeriodNumber">Model!$840:$840</definedName>
    <definedName name="MO_SNA_ConsensusEstimatePeriodType">Model!$839:$839</definedName>
    <definedName name="MO_SNA_FPStartDate">Model!$851:$851</definedName>
    <definedName name="MO_SNA_IsHistoricalPeriod">Model!$852:$852</definedName>
    <definedName name="MO_SNA_LastDataRow">Model!$788:$788</definedName>
    <definedName name="MO_SPT_FXAverage">Model!$874:$874</definedName>
    <definedName name="MO_SPT_FXAverage_Sources">Model!$875:$879</definedName>
    <definedName name="MO_SPT_FXAverage_Sources_Bloomberg">Model!$876:$876</definedName>
    <definedName name="MO_SPT_FXAverage_Sources_CapIQ">Model!$877:$877</definedName>
    <definedName name="MO_SPT_FXAverage_Sources_FactSet">Model!$878:$878</definedName>
    <definedName name="MO_SPT_FXAverage_Sources_RealTimeOff">Model!$875:$875</definedName>
    <definedName name="MO_SPT_FXAverage_Sources_Thomson">Model!$879:$879</definedName>
    <definedName name="MO_SPT_StockAverage">Model!$867:$867</definedName>
    <definedName name="MO_SPT_StockAverage_Sources">Model!$868:$872</definedName>
    <definedName name="MO_SPT_StockAverage_Sources_Bloomberg">Model!$869:$869</definedName>
    <definedName name="MO_SPT_StockAverage_Sources_CapIQ">Model!$870:$870</definedName>
    <definedName name="MO_SPT_StockAverage_Sources_FactSet">Model!$871:$871</definedName>
    <definedName name="MO_SPT_StockAverage_Sources_RealTimeOff">Model!$868:$868</definedName>
    <definedName name="MO_SPT_StockAverage_Sources_Thomson">Model!$872:$872</definedName>
    <definedName name="MO_SPT_StockHigh">Model!$853:$853</definedName>
    <definedName name="MO_SPT_StockHigh_Sources">Model!$854:$858</definedName>
    <definedName name="MO_SPT_StockHigh_Sources_Bloomberg">Model!$855:$855</definedName>
    <definedName name="MO_SPT_StockHigh_Sources_CapIQ">Model!$856:$856</definedName>
    <definedName name="MO_SPT_StockHigh_Sources_FactSet">Model!$857:$857</definedName>
    <definedName name="MO_SPT_StockHigh_Sources_RealTimeOff">Model!$854:$854</definedName>
    <definedName name="MO_SPT_StockHigh_Sources_Thomson">Model!$858:$858</definedName>
    <definedName name="MO_SPT_StockLow">Model!$860:$860</definedName>
    <definedName name="MO_SPT_StockLow_Sources">Model!$861:$865</definedName>
    <definedName name="MO_SPT_StockLow_Sources_Bloomberg">Model!$862:$862</definedName>
    <definedName name="MO_SPT_StockLow_Sources_CapIQ">Model!$863:$863</definedName>
    <definedName name="MO_SPT_StockLow_Sources_FactSet">Model!$864:$864</definedName>
    <definedName name="MO_SPT_StockLow_Sources_RealTimeOff">Model!$861:$861</definedName>
    <definedName name="MO_SPT_StockLow_Sources_Thomson">Model!$865:$865</definedName>
    <definedName name="MO_SubSection_BS_CA">Model!$714:$714</definedName>
    <definedName name="MO_SubSection_BS_CL">Model!$751:$751</definedName>
    <definedName name="MO_SubSection_BS_NCA">Model!$727:$727</definedName>
    <definedName name="MO_SubSection_BS_NCL">Model!$765:$765</definedName>
    <definedName name="MO_SubSection_BS_SE">Model!$780:$780</definedName>
    <definedName name="MO_SubSection_CCFS_CFF">Model!$543:$543</definedName>
    <definedName name="MO_SubSection_CCFS_CFI">Model!$528:$528</definedName>
    <definedName name="MO_SubSection_CCFS_CFO">Model!$493:$493</definedName>
    <definedName name="MO_SubSection_CFS_CFF">Model!$633:$633</definedName>
    <definedName name="MO_SubSection_CFS_CFI">Model!$618:$618</definedName>
    <definedName name="MO_SubSection_CFS_CFO">Model!$583:$583</definedName>
    <definedName name="MO_VA_EV">Model!$472:$472</definedName>
    <definedName name="MO_VA_EV_ToEBITDA">Model!$476:$476</definedName>
    <definedName name="MO_VA_EV_ToSales">Model!$475:$475</definedName>
    <definedName name="MO_VA_EVCalc_NCI">Model!$488:$488</definedName>
    <definedName name="MO_VA_EVCalc_Other">Model!$490:$490</definedName>
    <definedName name="MO_VA_EVCalc_Prefs">Model!$489:$489</definedName>
    <definedName name="MO_VA_FCFYield_ToEV">Model!$479:$479</definedName>
    <definedName name="MO_VA_FCFYield_ToMktCap">Model!$478:$478</definedName>
    <definedName name="MO_VA_FX_Average">Model!$484:$484</definedName>
    <definedName name="MO_VA_MarketCap">Model!$471:$471</definedName>
    <definedName name="MO_VA_P_ToCF">Model!$477:$477</definedName>
    <definedName name="MO_VA_P_ToE">Model!$474:$474</definedName>
    <definedName name="MO_VA_StockPrice">Model!$470:$470</definedName>
    <definedName name="MO_VA_StockPrice_Avg">Model!$483:$483</definedName>
    <definedName name="MO_VA_StockPrice_High">Model!$481:$481</definedName>
    <definedName name="MO_VA_StockPrice_Low">Model!$482:$482</definedName>
    <definedName name="MO_VA_StockPrice_TradingCurrency">Model!$485:$485</definedName>
    <definedName name="_xlnm.Print_Area" localSheetId="1">Model!$A$1:$BG$788</definedName>
    <definedName name="_xlnm.Print_Area" localSheetId="4">'Summary Page'!$A$1:$BG$123</definedName>
    <definedName name="_xlnm.Print_Titles" localSheetId="1">Model!$5:$5</definedName>
    <definedName name="SP.CompanyName">'Summary Page'!$A$1</definedName>
    <definedName name="SP.ReportFX">'Summary Page'!$B$2</definedName>
    <definedName name="SP.ValuationToggle">'Summary Page'!$B$4</definedName>
    <definedName name="SP_BSR_Capital">'Summary Page'!$84:$84</definedName>
    <definedName name="SP_BSR_CashFlow">'Summary Page'!$83:$83</definedName>
    <definedName name="SP_BSR_CashFlow_LTM">'Summary Page'!$86:$86</definedName>
    <definedName name="SP_BSR_CL">'Summary Page'!$105:$105</definedName>
    <definedName name="SP_BSR_CL_Avg">'Summary Page'!$106:$106</definedName>
    <definedName name="SP_BSR_Debt">'Summary Page'!$99:$99</definedName>
    <definedName name="SP_BSR_Debt_Avg">'Summary Page'!$100:$100</definedName>
    <definedName name="SP_BSR_EBITDA">'Summary Page'!$82:$82</definedName>
    <definedName name="SP_BSR_EBITDA_LTM">'Summary Page'!$85:$85</definedName>
    <definedName name="SP_BSR_SE">'Summary Page'!$91:$91</definedName>
    <definedName name="SP_BSR_SE_Avg">'Summary Page'!$92:$92</definedName>
    <definedName name="SP_BSR_TA">'Summary Page'!$96:$96</definedName>
    <definedName name="SP_BSR_TA_Avg">'Summary Page'!$97:$97</definedName>
    <definedName name="SP_CFA_Acquisition">'Summary Page'!$67:$67</definedName>
    <definedName name="SP_CFA_Capex">'Summary Page'!$63:$63</definedName>
    <definedName name="SP_CFA_CFO_BeforeWC">'Summary Page'!$62:$62</definedName>
    <definedName name="SP_CFA_CFO_PerShare">'Summary Page'!$75:$75</definedName>
    <definedName name="SP_CFA_Debt">'Summary Page'!$71:$71</definedName>
    <definedName name="SP_CFA_Div">'Summary Page'!$65:$65</definedName>
    <definedName name="SP_CFA_Div_PerShare">'Summary Page'!$77:$77</definedName>
    <definedName name="SP_CFA_Divestiture">'Summary Page'!$68:$68</definedName>
    <definedName name="SP_CFA_Equity">'Summary Page'!$70:$70</definedName>
    <definedName name="SP_CFA_FCF_PerShare">'Summary Page'!$76:$76</definedName>
    <definedName name="SP_CFA_FCF_PostDiv">'Summary Page'!$66:$66</definedName>
    <definedName name="SP_CFA_FCF_PreDiv">'Summary Page'!$64:$64</definedName>
    <definedName name="SP_CFA_NetChange">'Summary Page'!$73:$73</definedName>
    <definedName name="SP_CFA_Other">'Summary Page'!$72:$72</definedName>
    <definedName name="SP_CFA_Payout_vsEPS">'Summary Page'!$79:$79</definedName>
    <definedName name="SP_CFA_Payout_vsFCF">'Summary Page'!$78:$78</definedName>
    <definedName name="SP_CFA_WC">'Summary Page'!$69:$69</definedName>
    <definedName name="SP_Checks_SummaryPage">'Summary Page'!$C$126:$XFD$131</definedName>
    <definedName name="SP_Common_Column_A">'Summary Page'!$A:$A</definedName>
    <definedName name="SP_Common_Column_B">'Summary Page'!$B:$B</definedName>
    <definedName name="SP_Common_ColumnHeader">'Summary Page'!$2:$2</definedName>
    <definedName name="SP_Common_QEndDate">'Summary Page'!$1:$1</definedName>
    <definedName name="SP_CS_Cash">'Summary Page'!$7:$7</definedName>
    <definedName name="SP_CS_Debt">'Summary Page'!$8:$8</definedName>
    <definedName name="SP_CS_EV">'Summary Page'!$10:$10</definedName>
    <definedName name="SP_CS_EVCalc_Other">'Summary Page'!$9:$9</definedName>
    <definedName name="SP_CS_MarketCap">'Summary Page'!$6:$6</definedName>
    <definedName name="SP_CS_ShareCount">'Summary Page'!$5:$5</definedName>
    <definedName name="SP_CS_StockPrice">'Summary Page'!$4:$4</definedName>
    <definedName name="SP_GF_COGS">'Summary Page'!$31:$31</definedName>
    <definedName name="SP_GF_DisCont">'Summary Page'!$40:$40</definedName>
    <definedName name="SP_GF_Div_Prefs">'Summary Page'!$42:$42</definedName>
    <definedName name="SP_GF_EBIT">'Summary Page'!$35:$35</definedName>
    <definedName name="SP_GF_EBT">'Summary Page'!$38:$38</definedName>
    <definedName name="SP_GF_EPS_GAAP">'Summary Page'!$44:$44</definedName>
    <definedName name="SP_GF_IE">'Summary Page'!$36:$36</definedName>
    <definedName name="SP_GF_IE_Net">'Summary Page'!$36:$36</definedName>
    <definedName name="SP_GF_NCI">'Summary Page'!$41:$41</definedName>
    <definedName name="SP_GF_NI">'Summary Page'!$43:$43</definedName>
    <definedName name="SP_GF_OI">'Summary Page'!$37:$37</definedName>
    <definedName name="SP_GF_OTI_Operating">'Summary Page'!$34:$34</definedName>
    <definedName name="SP_GF_RD">'Summary Page'!$33:$33</definedName>
    <definedName name="SP_GF_Rev">'Summary Page'!$30:$30</definedName>
    <definedName name="SP_GF_SGA">'Summary Page'!$32:$32</definedName>
    <definedName name="SP_GF_Tax">'Summary Page'!$39:$39</definedName>
    <definedName name="SP_MA_COGS">'Summary Page'!$53:$53</definedName>
    <definedName name="SP_MA_EBIT">'Summary Page'!$56:$56</definedName>
    <definedName name="SP_MA_EBIT_Adj">'Summary Page'!$57:$57</definedName>
    <definedName name="SP_MA_EBITDA">'Summary Page'!$58:$58</definedName>
    <definedName name="SP_MA_EBITDA_Adj">'Summary Page'!$59:$59</definedName>
    <definedName name="SP_MA_RD">'Summary Page'!$55:$55</definedName>
    <definedName name="SP_MA_SBC">'Summary Page'!$55:$55</definedName>
    <definedName name="SP_MA_SGA">'Summary Page'!$54:$54</definedName>
    <definedName name="SP_NGF_EBIT">'Summary Page'!$48:$48</definedName>
    <definedName name="SP_NGF_EBITDA">'Summary Page'!$47:$47</definedName>
    <definedName name="SP_NGF_EPS">'Summary Page'!$50:$50</definedName>
    <definedName name="SP_NGF_NI">'Summary Page'!$49:$49</definedName>
    <definedName name="SP_PR_ROA">'Summary Page'!$98:$98</definedName>
    <definedName name="SP_PR_ROCE">'Summary Page'!$108:$108</definedName>
    <definedName name="SP_PR_ROE">'Summary Page'!$93:$93</definedName>
    <definedName name="SP_PR_ROIC">'Summary Page'!$102:$102</definedName>
    <definedName name="SP_PSGM_CFO">'Summary Page'!$114:$114</definedName>
    <definedName name="SP_PSGM_EBITDA_Adj">'Summary Page'!$112:$112</definedName>
    <definedName name="SP_PSGM_FCF">'Summary Page'!$115:$115</definedName>
    <definedName name="SP_PSGM_NI_Adj">'Summary Page'!$113:$113</definedName>
    <definedName name="SP_PSGM_Revenue">'Summary Page'!$111:$111</definedName>
    <definedName name="SP_Section_BalanceSheetRatios">'Summary Page'!$81:$81</definedName>
    <definedName name="SP_Section_CapitalizationSummary">'Summary Page'!$3:$3</definedName>
    <definedName name="SP_Section_CashFlowAnalysis">'Summary Page'!$61:$61</definedName>
    <definedName name="SP_Section_Checks">'Summary Page'!$125:$125</definedName>
    <definedName name="SP_Section_CompanySpecificOperationalData">'Summary Page'!$12:$12</definedName>
    <definedName name="SP_Section_GAAPFinancials">'Summary Page'!$29:$29</definedName>
    <definedName name="SP_Section_LastRow">'Summary Page'!$133:$133</definedName>
    <definedName name="SP_Section_MarginAnalysis">'Summary Page'!$52:$52</definedName>
    <definedName name="SP_Section_NonGAAPFinancials">'Summary Page'!$46:$46</definedName>
    <definedName name="SP_Section_PerShareGrowthMetrics">'Summary Page'!$110:$110</definedName>
    <definedName name="SP_Section_ProfitabilityRatios">'Summary Page'!$88:$88</definedName>
    <definedName name="SP_Section_ValuationMetrics">'Summary Page'!$117:$117</definedName>
    <definedName name="SP_VM_EV_ToEBITDA">'Summary Page'!$120:$120</definedName>
    <definedName name="SP_VM_EV_ToSales">'Summary Page'!$119:$119</definedName>
    <definedName name="SP_VM_FCFYield_ToEV">'Summary Page'!$123:$123</definedName>
    <definedName name="SP_VM_FCFYield_ToMktCap">'Summary Page'!$122:$122</definedName>
    <definedName name="SP_VM_P_ToCF">'Summary Page'!$121:$121</definedName>
    <definedName name="SP_VM_P_ToE">'Summary Page'!$118:$118</definedName>
    <definedName name="tb_ConsensusEstimate">Model!$A$838:$BG$848</definedName>
    <definedName name="tb_EntireModel">Model!$A$1:$BG$790</definedName>
    <definedName name="tb_KeyOutputs">Model!$A$829:$A$836</definedName>
    <definedName name="tb_StockPrice">Model!$A$850:$BG$880</definedName>
    <definedName name="tb_Tickers">Model!$A$818:$A$822</definedName>
    <definedName name="tb_UpdateLog">'Update Log'!$C$10:$H$45</definedName>
    <definedName name="tb_ValuationToggle">Model!$A$824:$B$827</definedName>
    <definedName name="UL.CSIN">'Update Log'!$H$7</definedName>
    <definedName name="UL.ModelVersion">'Update Log'!$H$8</definedName>
    <definedName name="UL.MRQ">'Update Log'!$F$7</definedName>
    <definedName name="UL.MRQColNum">'Update Log'!$E$7</definedName>
    <definedName name="WS.CanalystName" localSheetId="0">"Front Page"</definedName>
    <definedName name="WS.CanalystName" localSheetId="1">"Model"</definedName>
    <definedName name="WS.CanalystName" localSheetId="4">"Summary Page"</definedName>
    <definedName name="WS.CanalystName" localSheetId="2">"Supplemental Data"</definedName>
    <definedName name="WS.CanalystName" localSheetId="5">"Update Log"</definedName>
    <definedName name="WS.HasWorkingRange" localSheetId="2">"TRUE"</definedName>
    <definedName name="WS.WorkingRangeType" localSheetId="2">"Standard"</definedName>
    <definedName name="WS.WorksheetType" localSheetId="2">"Supplemental"</definedName>
    <definedName name="WS_ColumnHeader" localSheetId="2">'Supplemental Data'!$5:$5</definedName>
    <definedName name="WS_LastRow" localSheetId="2">'Supplemental Data'!$108:$108</definedName>
    <definedName name="WS_PeriodMetadata_FPDays" localSheetId="2">'Supplemental Data'!$3:$3</definedName>
    <definedName name="WS_PeriodMetadata_PAnnotation" localSheetId="2">'Supplemental Data'!$2:$2</definedName>
    <definedName name="WS_PeriodMetadata_PEndDate" localSheetId="2">'Supplemental Data'!$4:$4</definedName>
    <definedName name="WS_RowTitle" localSheetId="2">'Supplemental Data'!$A:$A</definedName>
    <definedName name="WS_WorkingRange_FirstColumn" localSheetId="2">'Supplemental Data'!$C:$C</definedName>
    <definedName name="WS_WorkingRange_FirstRow" localSheetId="2">'Supplemental Data'!$6:$6</definedName>
    <definedName name="WS_WorkingRange_LastColumn" localSheetId="2">'Supplemental Data'!$BG:$BG</definedName>
    <definedName name="WS_WorkingRange_LastRow" localSheetId="2">'Supplemental Data'!$108:$108</definedName>
    <definedName name="z_GMEG0H0133_MO_AN_Acquisitionrelatedtransactioncosts">Model!$364:$364</definedName>
    <definedName name="z_GMEG0H0133_MO_AN_Amortizationofintangibles">Model!$295:$295</definedName>
    <definedName name="z_GMEG0H0133_MO_AN_Amortizationofsolarenergysystems">Model!$296:$296</definedName>
    <definedName name="z_GMEG0H0133_MO_AN_automotivegrossprofit">Model!$370:$370</definedName>
    <definedName name="z_GMEG0H0133_MO_AN_automotivegrossprofitexcludingsbcandzevcredit">Model!$373:$373</definedName>
    <definedName name="z_GMEG0H0133_MO_AN_changeinfairvalueofwarrantliability">Model!$366:$366</definedName>
    <definedName name="z_GMEG0H0133_MO_AN_Depreciationexpense">Model!$294:$294</definedName>
    <definedName name="z_GMEG0H0133_MO_AN_Dilutiveconvertibledebt">Model!$377:$377</definedName>
    <definedName name="z_GMEG0H0133_MO_AN_GainlossadjustmentrelatingtocashpaidtostakeholdersofNCI">Model!$376:$376</definedName>
    <definedName name="z_GMEG0H0133_MO_AN_LossesrelatedtotheSolarCityacquisition">Model!$363:$363</definedName>
    <definedName name="z_GMEG0H0133_MO_AN_modelsandmodelxgrossprofitdeferredduetoleaseaccounting">Model!$367:$367</definedName>
    <definedName name="z_GMEG0H0133_MO_AN_netloss">Model!$361:$361</definedName>
    <definedName name="z_GMEG0H0133_MO_AN_Netlosstocommonstockholders">Model!$375:$375</definedName>
    <definedName name="z_GMEG0H0133_MO_AN_NetlossusedforEPScalculation">Model!$378:$378</definedName>
    <definedName name="z_GMEG0H0133_MO_AN_Noncashinterestexpenserelatedtoconvertiblenotesandother">Model!$365:$365</definedName>
    <definedName name="z_GMEG0H0133_MO_AN_nongaapnetincomeloss">Model!$368:$368</definedName>
    <definedName name="z_GMEG0H0133_MO_AN_OtherDAandimpairmentexpense">Model!$297:$297</definedName>
    <definedName name="z_GMEG0H0133_MO_AN_SBCrelatedtorestructuringandother">Model!$291:$291</definedName>
    <definedName name="z_GMEG0H0133_MO_AN_sbcrelatingtocogs">Model!$288:$288</definedName>
    <definedName name="z_GMEG0H0133_MO_AN_sbcrelatingtord">Model!$289:$289</definedName>
    <definedName name="z_GMEG0H0133_MO_AN_sbcrelatingtosga">Model!$290:$290</definedName>
    <definedName name="z_GMEG0H0133_MO_AN_stockbasedcompensationexpense">Model!$362:$362</definedName>
    <definedName name="z_GMEG0H0133_MO_AN_stockbasedcompensationexpense_1">Model!$371:$371</definedName>
    <definedName name="z_GMEG0H0133_MO_AN_TotalDAexpense">Model!$298:$298</definedName>
    <definedName name="z_GMEG0H0133_MO_AN_totalsbc">Model!$292:$292</definedName>
    <definedName name="z_GMEG0H0133_MO_AN_zevcreditrevenuerecognized">Model!$372:$372</definedName>
    <definedName name="z_GMEG0H0133_MO_BlankRow_AN">Model!$369:$369</definedName>
    <definedName name="z_GMEG0H0133_MO_BlankRow_AN_2">Model!$379:$379</definedName>
    <definedName name="z_GMEG0H0133_MO_BlankRow_AN_3">Model!$374:$374</definedName>
    <definedName name="z_GMEG0H0133_MO_BlankRow_AN_4">Model!$293:$293</definedName>
    <definedName name="z_GMEG0H0133_MO_BlankRow_BS_1">Model!$726:$726</definedName>
    <definedName name="z_GMEG0H0133_MO_BlankRow_BS_2">Model!$750:$750</definedName>
    <definedName name="z_GMEG0H0133_MO_BlankRow_BS_3">Model!$764:$764</definedName>
    <definedName name="z_GMEG0H0133_MO_BlankRow_BS_4">Model!$779:$779</definedName>
    <definedName name="z_GMEG0H0133_MO_BlankRow_BS_5">Model!$789:$789</definedName>
    <definedName name="z_GMEG0H0133_MO_BlankRow_BSS">Model!$468:$468</definedName>
    <definedName name="z_GMEG0H0133_MO_BlankRow_BSS_1">Model!$457:$457</definedName>
    <definedName name="z_GMEG0H0133_MO_BlankRow_BSS_2">Model!$464:$464</definedName>
    <definedName name="z_GMEG0H0133_MO_BlankRow_CCFS">Model!$527:$527</definedName>
    <definedName name="z_GMEG0H0133_MO_BlankRow_CCFS_1">Model!$542:$542</definedName>
    <definedName name="z_GMEG0H0133_MO_BlankRow_CCFS_2">Model!$572:$572</definedName>
    <definedName name="z_GMEG0H0133_MO_BlankRow_CCFS_3">Model!$575:$575</definedName>
    <definedName name="z_GMEG0H0133_MO_BlankRow_CCFS_4">Model!$581:$581</definedName>
    <definedName name="z_GMEG0H0133_MO_BlankRow_CCFS_5">Model!$578:$578</definedName>
    <definedName name="z_GMEG0H0133_MO_BlankRow_CFS_2">Model!$617:$617</definedName>
    <definedName name="z_GMEG0H0133_MO_BlankRow_CFS_3">Model!$632:$632</definedName>
    <definedName name="z_GMEG0H0133_MO_BlankRow_CFS_4">Model!$662:$662</definedName>
    <definedName name="z_GMEG0H0133_MO_BlankRow_CFS_5">Model!$665:$665</definedName>
    <definedName name="z_GMEG0H0133_MO_BlankRow_CFS_6">Model!$671:$671</definedName>
    <definedName name="z_GMEG0H0133_MO_BlankRow_CFS_7">Model!$673:$673</definedName>
    <definedName name="z_GMEG0H0133_MO_BlankRow_CFS_9">Model!$668:$668</definedName>
    <definedName name="z_GMEG0H0133_MO_BlankRow_CFSum">Model!$445:$445</definedName>
    <definedName name="z_GMEG0H0133_MO_BlankRow_CFSum_1">Model!$450:$450</definedName>
    <definedName name="z_GMEG0H0133_MO_BlankRow_CFSum_2">Model!$441:$441</definedName>
    <definedName name="z_GMEG0H0133_MO_BlankRow_DAF">Model!$697:$697</definedName>
    <definedName name="z_GMEG0H0133_MO_BlankRow_DAF_1">Model!$703:$703</definedName>
    <definedName name="z_GMEG0H0133_MO_BlankRow_DAF_2">Model!$708:$708</definedName>
    <definedName name="z_GMEG0H0133_MO_BlankRow_DAF_3">Model!$712:$712</definedName>
    <definedName name="z_GMEG0H0133_MO_BlankRow_IS">Model!$357:$357</definedName>
    <definedName name="z_GMEG0H0133_MO_BlankRow_IS_1">Model!$359:$359</definedName>
    <definedName name="z_GMEG0H0133_MO_BlankRow_MA">Model!$319:$319</definedName>
    <definedName name="z_GMEG0H0133_MO_BlankRow_MA_2">Model!$473:$473</definedName>
    <definedName name="z_GMEG0H0133_MO_BlankRow_MA_3">Model!$486:$486</definedName>
    <definedName name="z_GMEG0H0133_MO_BlankRow_MA_4">Model!$491:$491</definedName>
    <definedName name="z_GMEG0H0133_MO_BlankRow_MA_5">Model!$480:$480</definedName>
    <definedName name="z_GMEG0H0133_MO_BlankRow_MA_6">Model!$325:$325</definedName>
    <definedName name="z_GMEG0H0133_MO_BlankRow_MA_7">Model!$331:$331</definedName>
    <definedName name="z_GMEG0H0133_MO_BlankRow_MA_8">Model!$311:$311</definedName>
    <definedName name="z_GMEG0H0133_MO_BlankRow_OS_100">"Deleted"</definedName>
    <definedName name="z_GMEG0H0133_MO_BlankRow_OS_101">Model!$278:$278</definedName>
    <definedName name="z_GMEG0H0133_MO_BlankRow_OS_102">Model!$282:$282</definedName>
    <definedName name="z_GMEG0H0133_MO_BlankRow_OS_103">Model!$286:$286</definedName>
    <definedName name="z_GMEG0H0133_MO_BlankRow_OS_104">Model!$33:$33</definedName>
    <definedName name="z_GMEG0H0133_MO_BlankRow_OS_105">Model!$44:$44</definedName>
    <definedName name="z_GMEG0H0133_MO_BlankRow_OS_106">Model!$86:$86</definedName>
    <definedName name="z_GMEG0H0133_MO_BlankRow_OS_107">Model!$116:$116</definedName>
    <definedName name="z_GMEG0H0133_MO_BlankRow_OS_108">Model!$118:$118</definedName>
    <definedName name="z_GMEG0H0133_MO_BlankRow_OS_109">Model!$143:$143</definedName>
    <definedName name="z_GMEG0H0133_MO_BlankRow_OS_110">Model!$166:$166</definedName>
    <definedName name="z_GMEG0H0133_MO_BlankRow_OS_111">Model!$172:$172</definedName>
    <definedName name="z_GMEG0H0133_MO_BlankRow_OS_112">Model!$199:$199</definedName>
    <definedName name="z_GMEG0H0133_MO_BlankRow_OS_113">Model!$208:$208</definedName>
    <definedName name="z_GMEG0H0133_MO_BlankRow_OS_114">Model!$210:$210</definedName>
    <definedName name="z_GMEG0H0133_MO_BlankRow_OS_115">Model!$272:$272</definedName>
    <definedName name="z_GMEG0H0133_MO_BlankRow_OS_17">Model!$791:$791</definedName>
    <definedName name="z_GMEG0H0133_MO_BlankRow_OS_18">Model!$247:$247</definedName>
    <definedName name="z_GMEG0H0133_MO_BlankRow_OS_19">Model!$682:$682</definedName>
    <definedName name="z_GMEG0H0133_MO_BlankRow_OS_20">Model!$690:$690</definedName>
    <definedName name="z_GMEG0H0133_MO_BlankRow_OS_21">Model!$109:$109</definedName>
    <definedName name="z_GMEG0H0133_MO_BlankRow_OS_24">Model!$202:$202</definedName>
    <definedName name="z_GMEG0H0133_MO_BlankRow_OS_25">Model!$213:$213</definedName>
    <definedName name="z_GMEG0H0133_MO_BlankRow_OS_27">"Deleted"</definedName>
    <definedName name="z_GMEG0H0133_MO_BlankRow_OS_28">Model!$132:$132</definedName>
    <definedName name="z_GMEG0H0133_MO_BlankRow_OS_31">Model!$79:$79</definedName>
    <definedName name="z_GMEG0H0133_MO_BlankRow_OS_32">Model!$83:$83</definedName>
    <definedName name="z_GMEG0H0133_MO_BlankRow_OS_33">"Deleted"</definedName>
    <definedName name="z_GMEG0H0133_MO_BlankRow_OS_34">Model!$147:$147</definedName>
    <definedName name="z_GMEG0H0133_MO_BlankRow_OS_35">"Deleted"</definedName>
    <definedName name="z_GMEG0H0133_MO_BlankRow_OS_38">Model!$112:$112</definedName>
    <definedName name="z_GMEG0H0133_MO_BlankRow_OS_4">Model!$157:$157</definedName>
    <definedName name="z_GMEG0H0133_MO_BlankRow_OS_44">Model!$234:$234</definedName>
    <definedName name="z_GMEG0H0133_MO_BlankRow_OS_45">Model!$253:$253</definedName>
    <definedName name="z_GMEG0H0133_MO_BlankRow_OS_47">Model!$71:$71</definedName>
    <definedName name="z_GMEG0H0133_MO_BlankRow_OS_48">Model!$156:$156</definedName>
    <definedName name="z_GMEG0H0133_MO_BlankRow_OS_51">Model!$179:$179</definedName>
    <definedName name="z_GMEG0H0133_MO_BlankRow_OS_52">Model!$13:$13</definedName>
    <definedName name="z_GMEG0H0133_MO_BlankRow_OS_53">Model!$23:$23</definedName>
    <definedName name="z_GMEG0H0133_MO_BlankRow_OS_54">Model!$29:$29</definedName>
    <definedName name="z_GMEG0H0133_MO_BlankRow_OS_55">Model!$40:$40</definedName>
    <definedName name="z_GMEG0H0133_MO_BlankRow_OS_56">Model!$52:$52</definedName>
    <definedName name="z_GMEG0H0133_MO_BlankRow_OS_58">Model!$128:$128</definedName>
    <definedName name="z_GMEG0H0133_MO_BlankRow_OS_59">"Deleted"</definedName>
    <definedName name="z_GMEG0H0133_MO_BlankRow_OS_60">"Deleted"</definedName>
    <definedName name="z_GMEG0H0133_MO_BlankRow_OS_61">Model!$108:$108</definedName>
    <definedName name="z_GMEG0H0133_MO_BlankRow_OS_62">Model!$66:$66</definedName>
    <definedName name="z_GMEG0H0133_MO_BlankRow_OS_63">Model!$170:$170</definedName>
    <definedName name="z_GMEG0H0133_MO_BlankRow_OS_64">"Deleted"</definedName>
    <definedName name="z_GMEG0H0133_MO_BlankRow_OS_65">Model!$184:$184</definedName>
    <definedName name="z_GMEG0H0133_MO_BlankRow_OS_67">Model!$240:$240</definedName>
    <definedName name="z_GMEG0H0133_MO_BlankRow_OS_69">Model!$102:$102</definedName>
    <definedName name="z_GMEG0H0133_MO_BlankRow_OS_70">Model!$159:$159</definedName>
    <definedName name="z_GMEG0H0133_MO_BlankRow_OS_71">Model!$25:$25</definedName>
    <definedName name="z_GMEG0H0133_MO_BlankRow_OS_72">Model!$216:$216</definedName>
    <definedName name="z_GMEG0H0133_MO_BlankRow_OS_73">Model!$222:$222</definedName>
    <definedName name="z_GMEG0H0133_MO_BlankRow_OS_74">Model!$189:$189</definedName>
    <definedName name="z_GMEG0H0133_MO_BlankRow_OS_75">Model!$193:$193</definedName>
    <definedName name="z_GMEG0H0133_MO_BlankRow_OS_76">Model!$220:$220</definedName>
    <definedName name="z_GMEG0H0133_MO_BlankRow_OS_77">Model!$299:$299</definedName>
    <definedName name="z_GMEG0H0133_MO_BlankRow_OS_78">'Supplemental Data'!$30:$30</definedName>
    <definedName name="z_GMEG0H0133_MO_BlankRow_OS_79">Model!$303:$303</definedName>
    <definedName name="z_GMEG0H0133_MO_BlankRow_OS_80">Model!$307:$307</definedName>
    <definedName name="z_GMEG0H0133_MO_BlankRow_OS_81">'Supplemental Data'!$14:$14</definedName>
    <definedName name="z_GMEG0H0133_MO_BlankRow_OS_82">'Supplemental Data'!$37:$37</definedName>
    <definedName name="z_GMEG0H0133_MO_BlankRow_OS_83">'Supplemental Data'!$39:$39</definedName>
    <definedName name="z_GMEG0H0133_MO_BlankRow_OS_84">'Supplemental Data'!$51:$51</definedName>
    <definedName name="z_GMEG0H0133_MO_BlankRow_OS_85">'Supplemental Data'!$58:$58</definedName>
    <definedName name="z_GMEG0H0133_MO_BlankRow_OS_86">'Supplemental Data'!$66:$66</definedName>
    <definedName name="z_GMEG0H0133_MO_BlankRow_OS_87">'Supplemental Data'!$73:$73</definedName>
    <definedName name="z_GMEG0H0133_MO_BlankRow_OS_88">'Supplemental Data'!$79:$79</definedName>
    <definedName name="z_GMEG0H0133_MO_BlankRow_OS_89">'Supplemental Data'!$81:$81</definedName>
    <definedName name="z_GMEG0H0133_MO_BlankRow_OS_90">'Supplemental Data'!$85:$85</definedName>
    <definedName name="z_GMEG0H0133_MO_BlankRow_OS_91">'Supplemental Data'!$90:$90</definedName>
    <definedName name="z_GMEG0H0133_MO_BlankRow_OS_92">'Supplemental Data'!$95:$95</definedName>
    <definedName name="z_GMEG0H0133_MO_BlankRow_OS_93">'Supplemental Data'!$99:$99</definedName>
    <definedName name="z_GMEG0H0133_MO_BlankRow_OS_94">'Supplemental Data'!$101:$101</definedName>
    <definedName name="z_GMEG0H0133_MO_BlankRow_OS_95">'Supplemental Data'!$107:$107</definedName>
    <definedName name="z_GMEG0H0133_MO_BlankRow_OS_96">Model!$139:$139</definedName>
    <definedName name="z_GMEG0H0133_MO_BlankRow_OS_97">Model!$256:$256</definedName>
    <definedName name="z_GMEG0H0133_MO_BlankRow_OS_98">Model!$262:$262</definedName>
    <definedName name="z_GMEG0H0133_MO_BlankRow_OS_99">Model!$267:$267</definedName>
    <definedName name="z_GMEG0H0133_MO_BlankRow_RIS">Model!$383:$383</definedName>
    <definedName name="z_GMEG0H0133_MO_BlankRow_RIS_1">Model!$386:$386</definedName>
    <definedName name="z_GMEG0H0133_MO_BlankRow_RIS_2">Model!$399:$399</definedName>
    <definedName name="z_GMEG0H0133_MO_BlankRow_RIS_3">Model!$393:$393</definedName>
    <definedName name="z_GMEG0H0133_MO_BlankRow_RIS_4">Model!$405:$405</definedName>
    <definedName name="z_GMEG0H0133_MO_BlankRow_RIS_5">Model!$418:$418</definedName>
    <definedName name="z_GMEG0H0133_MO_BlankRow_RIS_6">Model!$421:$421</definedName>
    <definedName name="z_GMEG0H0133_MO_BlankRow_RIS_7">Model!$426:$426</definedName>
    <definedName name="z_GMEG0H0133_MO_BlankRow_RIS_8">Model!$430:$430</definedName>
    <definedName name="z_GMEG0H0133_MO_BlankRow_SNA">Model!$815:$815</definedName>
    <definedName name="z_GMEG0H0133_MO_BlankRow_SNA_1">Model!$817:$817</definedName>
    <definedName name="z_GMEG0H0133_MO_BlankRow_SNA_10">Model!$873:$873</definedName>
    <definedName name="z_GMEG0H0133_MO_BlankRow_SNA_11">Model!$880:$880</definedName>
    <definedName name="z_GMEG0H0133_MO_BlankRow_SNA_12">Model!$881:$881</definedName>
    <definedName name="z_GMEG0H0133_MO_BlankRow_SNA_13">Model!$897:$897</definedName>
    <definedName name="z_GMEG0H0133_MO_BlankRow_SNA_2">Model!$823:$823</definedName>
    <definedName name="z_GMEG0H0133_MO_BlankRow_SNA_3">Model!$828:$828</definedName>
    <definedName name="z_GMEG0H0133_MO_BlankRow_SNA_4">Model!$836:$836</definedName>
    <definedName name="z_GMEG0H0133_MO_BlankRow_SNA_5">Model!$837:$837</definedName>
    <definedName name="z_GMEG0H0133_MO_BlankRow_SNA_6">Model!$848:$848</definedName>
    <definedName name="z_GMEG0H0133_MO_BlankRow_SNA_7">Model!$849:$849</definedName>
    <definedName name="z_GMEG0H0133_MO_BlankRow_SNA_8">Model!$859:$859</definedName>
    <definedName name="z_GMEG0H0133_MO_BlankRow_SNA_9">Model!$866:$866</definedName>
    <definedName name="z_GMEG0H0133_MO_BS_Accountspayable">Model!$752:$752</definedName>
    <definedName name="z_GMEG0H0133_MO_BS_Accountsreceivable">Model!$718:$718</definedName>
    <definedName name="z_GMEG0H0133_MO_BS_accruedliabilities">Model!$755:$755</definedName>
    <definedName name="z_GMEG0H0133_MO_BS_Accruedliabilities_1">Model!$754:$754</definedName>
    <definedName name="z_GMEG0H0133_MO_BS_accumulateddeficit">Model!$785:$785</definedName>
    <definedName name="z_GMEG0H0133_MO_BS_Accumulatedothercomprehensiveloss">Model!$784:$784</definedName>
    <definedName name="z_GMEG0H0133_MO_BS_additionalpaidincapital">Model!$783:$783</definedName>
    <definedName name="z_GMEG0H0133_MO_BS_BSCheck">Model!$790:$790</definedName>
    <definedName name="z_GMEG0H0133_MO_BS_Buildingandbuildingimprovements">Model!$733:$733</definedName>
    <definedName name="z_GMEG0H0133_MO_BS_capitalleaseobligations">Model!$757:$757</definedName>
    <definedName name="z_GMEG0H0133_MO_BS_cashandcashequivalents">Model!$715:$715</definedName>
    <definedName name="z_GMEG0H0133_MO_BS_commonstock">Model!$782:$782</definedName>
    <definedName name="z_GMEG0H0133_MO_BS_commonstockwarrantliability">Model!$766:$766</definedName>
    <definedName name="z_GMEG0H0133_MO_BS_Computerequipment">Model!$736:$736</definedName>
    <definedName name="z_GMEG0H0133_MO_BS_Constructioninprogress">Model!$737:$737</definedName>
    <definedName name="z_GMEG0H0133_MO_BS_convertibleseniornotes">Model!$771:$771</definedName>
    <definedName name="z_GMEG0H0133_MO_BS_convertibleseniornotes_1">Model!$775:$775</definedName>
    <definedName name="z_GMEG0H0133_MO_BS_CurrentAssets">Model!$714:$714</definedName>
    <definedName name="z_GMEG0H0133_MO_BS_CurrentLiabilities">Model!$751:$751</definedName>
    <definedName name="z_GMEG0H0133_MO_BS_Currentportionoflongtermdebtandcapitalleases">Model!$761:$761</definedName>
    <definedName name="z_GMEG0H0133_MO_BS_currentportionofsolarbondsissuedtorelatedparties">Model!$762:$762</definedName>
    <definedName name="z_GMEG0H0133_MO_BS_customerdeposits">Model!$759:$759</definedName>
    <definedName name="z_GMEG0H0133_MO_BS_deferreddevelopmentcompensation">Model!$758:$758</definedName>
    <definedName name="z_GMEG0H0133_MO_BS_deferredrevenue">Model!$756:$756</definedName>
    <definedName name="z_GMEG0H0133_MO_BS_deferredrevenue_1">Model!$769:$769</definedName>
    <definedName name="z_GMEG0H0133_MO_BS_deferredtaxes">Model!$760:$760</definedName>
    <definedName name="z_GMEG0H0133_MO_BS_Digitalassets">Model!$742:$742</definedName>
    <definedName name="z_GMEG0H0133_MO_BS_Finishedgoods">Model!$721:$721</definedName>
    <definedName name="z_GMEG0H0133_MO_BS_Goodwill">Model!$744:$744</definedName>
    <definedName name="z_GMEG0H0133_MO_BS_Intangibleassets">Model!$743:$743</definedName>
    <definedName name="z_GMEG0H0133_MO_BS_Inventory">Model!$723:$723</definedName>
    <definedName name="z_GMEG0H0133_MO_BS_Land">Model!$734:$734</definedName>
    <definedName name="z_GMEG0H0133_MO_BS_Landandbuildings">Model!$735:$735</definedName>
    <definedName name="z_GMEG0H0133_MO_BS_Leaseholdimprovements">Model!$732:$732</definedName>
    <definedName name="z_GMEG0H0133_MO_BS_LessAccumulateddepreciation">Model!$739:$739</definedName>
    <definedName name="z_GMEG0H0133_MO_BS_Longtermdebt">Model!$770:$770</definedName>
    <definedName name="z_GMEG0H0133_MO_BS_Longtermdebtandcapitalleases">Model!$767:$767</definedName>
    <definedName name="z_GMEG0H0133_MO_BS_Machineryequipment">Model!$730:$730</definedName>
    <definedName name="z_GMEG0H0133_MO_BS_mypowercustomernotesreceivable">Model!$745:$745</definedName>
    <definedName name="z_GMEG0H0133_MO_BS_nci">Model!$787:$787</definedName>
    <definedName name="z_GMEG0H0133_MO_BS_NonCurrentAssets">Model!$727:$727</definedName>
    <definedName name="z_GMEG0H0133_MO_BS_NonCurrentLiabilities">Model!$765:$765</definedName>
    <definedName name="z_GMEG0H0133_MO_BS_Operatingleaserightofuseassets">Model!$741:$741</definedName>
    <definedName name="z_GMEG0H0133_MO_BS_operatingleasevehicles">Model!$728:$728</definedName>
    <definedName name="z_GMEG0H0133_MO_BS_Other_3">Model!$738:$738</definedName>
    <definedName name="z_GMEG0H0133_MO_BS_Otherassets">Model!$747:$747</definedName>
    <definedName name="z_GMEG0H0133_MO_BS_Otherlongtermliabilities">Model!$774:$774</definedName>
    <definedName name="z_GMEG0H0133_MO_BS_Otherlongtermliabilities_1">Model!$773:$773</definedName>
    <definedName name="z_GMEG0H0133_MO_BS_preferredstock">Model!$781:$781</definedName>
    <definedName name="z_GMEG0H0133_MO_BS_Prepaidexpensesandothercurrentassets">Model!$724:$724</definedName>
    <definedName name="z_GMEG0H0133_MO_BS_Propertyplantandequipment">Model!$740:$740</definedName>
    <definedName name="z_GMEG0H0133_MO_BS_Rawmaterials">Model!$719:$719</definedName>
    <definedName name="z_GMEG0H0133_MO_BS_redeemablenoncontrollinginterestinsubsidiaries">Model!$776:$776</definedName>
    <definedName name="z_GMEG0H0133_MO_BS_resalevalueguarantees">Model!$753:$753</definedName>
    <definedName name="z_GMEG0H0133_MO_BS_resalevalueguarantees_1">Model!$772:$772</definedName>
    <definedName name="z_GMEG0H0133_MO_BS_restrictedcash">Model!$746:$746</definedName>
    <definedName name="z_GMEG0H0133_MO_BS_restrictedcashandmarketablesecurities">Model!$717:$717</definedName>
    <definedName name="z_GMEG0H0133_MO_BS_Serviceparts">Model!$722:$722</definedName>
    <definedName name="z_GMEG0H0133_MO_BS_ShareholdersEquity">Model!$780:$780</definedName>
    <definedName name="z_GMEG0H0133_MO_BS_shorttermmarketablesecurities">Model!$716:$716</definedName>
    <definedName name="z_GMEG0H0133_MO_BS_solarbondsissuedtorelatedparties">Model!$768:$768</definedName>
    <definedName name="z_GMEG0H0133_MO_BS_solarenergysystemsleasedandtobeleased">Model!$729:$729</definedName>
    <definedName name="z_GMEG0H0133_MO_BS_Tooling">Model!$731:$731</definedName>
    <definedName name="z_GMEG0H0133_MO_BS_TotalAssets">Model!$749:$749</definedName>
    <definedName name="z_GMEG0H0133_MO_BS_TotalCurrentAssets">Model!$725:$725</definedName>
    <definedName name="z_GMEG0H0133_MO_BS_TotalCurrentLiabilities">Model!$763:$763</definedName>
    <definedName name="z_GMEG0H0133_MO_BS_TotalLiabilities">Model!$778:$778</definedName>
    <definedName name="z_GMEG0H0133_MO_BS_TotalLiabilitiesSE">Model!$788:$788</definedName>
    <definedName name="z_GMEG0H0133_MO_BS_totalnoncurrentassets">Model!$748:$748</definedName>
    <definedName name="z_GMEG0H0133_MO_BS_TotalNonCurrentliabilities">Model!$777:$777</definedName>
    <definedName name="z_GMEG0H0133_MO_BS_TotalSE">Model!$786:$786</definedName>
    <definedName name="z_GMEG0H0133_MO_BS_Workinprocess">Model!$720:$720</definedName>
    <definedName name="z_GMEG0H0133_MO_BSS_Cash">Model!$452:$452</definedName>
    <definedName name="z_GMEG0H0133_MO_BSS_Debt">Model!$455:$455</definedName>
    <definedName name="z_GMEG0H0133_MO_BSS_DebtCashFlow">Model!$467:$467</definedName>
    <definedName name="z_GMEG0H0133_MO_BSS_DebtEBITDA">Model!$466:$466</definedName>
    <definedName name="z_GMEG0H0133_MO_BSS_EBITDANetInterestExpense">Model!$465:$465</definedName>
    <definedName name="z_GMEG0H0133_MO_BSS_EffectiveInterestRateonCash">Model!$461:$461</definedName>
    <definedName name="z_GMEG0H0133_MO_BSS_EffectiveInterestRateonDebt">Model!$459:$459</definedName>
    <definedName name="z_GMEG0H0133_MO_BSS_EffectiveNetInterestRateonDebt">Model!$463:$463</definedName>
    <definedName name="z_GMEG0H0133_MO_BSS_InterestExpense">Model!$458:$458</definedName>
    <definedName name="z_GMEG0H0133_MO_BSS_InterestIncome">Model!$460:$460</definedName>
    <definedName name="z_GMEG0H0133_MO_BSS_LTDebt">Model!$454:$454</definedName>
    <definedName name="z_GMEG0H0133_MO_BSS_NetDebt">Model!$456:$456</definedName>
    <definedName name="z_GMEG0H0133_MO_BSS_NetInterestExpenseIncome">Model!$462:$462</definedName>
    <definedName name="z_GMEG0H0133_MO_BSS_STDebt">Model!$453:$453</definedName>
    <definedName name="z_GMEG0H0133_MO_CCFS_accountspayableandaccruedliabilities">Model!$518:$518</definedName>
    <definedName name="z_GMEG0H0133_MO_CCFS_accountsreceivable">Model!$511:$511</definedName>
    <definedName name="z_GMEG0H0133_MO_CCFS_accruedliabilities">Model!$519:$519</definedName>
    <definedName name="z_GMEG0H0133_MO_CCFS_Ammortizationofdebtdiscountsandissuancecosts">Model!$500:$500</definedName>
    <definedName name="z_GMEG0H0133_MO_CCFS_amortizationofdepartmentofenergydoeloanoriginationcosts">Model!$504:$504</definedName>
    <definedName name="z_GMEG0H0133_MO_CCFS_BeginningCashBalance">Model!$576:$576</definedName>
    <definedName name="z_GMEG0H0133_MO_CCFS_Businessacquisition">Model!$539:$539</definedName>
    <definedName name="z_GMEG0H0133_MO_CCFS_Cashpaidduringtheperiodforinterest">Model!$579:$579</definedName>
    <definedName name="z_GMEG0H0133_MO_CCFS_Cashpaidduringtheperiodfortaxes">Model!$580:$580</definedName>
    <definedName name="z_GMEG0H0133_MO_CCFS_CFF">Model!$543:$543</definedName>
    <definedName name="z_GMEG0H0133_MO_CCFS_CFI">Model!$528:$528</definedName>
    <definedName name="z_GMEG0H0133_MO_CCFS_CFO">Model!$493:$493</definedName>
    <definedName name="z_GMEG0H0133_MO_CCFS_CFObeforeWC">Model!$510:$510</definedName>
    <definedName name="z_GMEG0H0133_MO_CCFS_changeinfairvalueofdoewarrantliability">Model!$505:$505</definedName>
    <definedName name="z_GMEG0H0133_MO_CCFS_Changesinoperatingassetsandliabilities">Model!$525:$525</definedName>
    <definedName name="z_GMEG0H0133_MO_CCFS_collateralizedleaseborrowing">Model!$545:$545</definedName>
    <definedName name="z_GMEG0H0133_MO_CCFS_Commonstockandconvertibledebtissuancecosts">Model!$563:$563</definedName>
    <definedName name="z_GMEG0H0133_MO_CCFS_customerdeposits">Model!$522:$522</definedName>
    <definedName name="z_GMEG0H0133_MO_CCFS_Debtissuancecosts">Model!$565:$565</definedName>
    <definedName name="z_GMEG0H0133_MO_CCFS_deferreddevelopmentcompensation">Model!$520:$520</definedName>
    <definedName name="z_GMEG0H0133_MO_CCFS_deferredrevenue">Model!$521:$521</definedName>
    <definedName name="z_GMEG0H0133_MO_CCFS_deferredtaxes">Model!$508:$508</definedName>
    <definedName name="z_GMEG0H0133_MO_CCFS_depreciationandamortization">Model!$495:$495</definedName>
    <definedName name="z_GMEG0H0133_MO_CCFS_Digitalassetsgain">Model!$507:$507</definedName>
    <definedName name="z_GMEG0H0133_MO_CCFS_distributionspaidtononcontrollinginterestsinsubsidiaries">Model!$569:$569</definedName>
    <definedName name="z_GMEG0H0133_MO_CCFS_Dividendspaid">Model!$566:$566</definedName>
    <definedName name="z_GMEG0H0133_MO_CCFS_EndingCashBalance">Model!$577:$577</definedName>
    <definedName name="z_GMEG0H0133_MO_CCFS_fixedassetdisposal">Model!$501:$501</definedName>
    <definedName name="z_GMEG0H0133_MO_CCFS_foreigncurrencytransactiongainloss">Model!$509:$509</definedName>
    <definedName name="z_GMEG0H0133_MO_CCFS_FX">Model!$573:$573</definedName>
    <definedName name="z_GMEG0H0133_MO_CCFS_GainlossonacquisitionofSolarCity">Model!$497:$497</definedName>
    <definedName name="z_GMEG0H0133_MO_CCFS_gainonextinguishmentofconvertiblenotesandwarrants">Model!$506:$506</definedName>
    <definedName name="z_GMEG0H0133_MO_CCFS_Increasedecreaseinotherrestrictedcash">Model!$536:$536</definedName>
    <definedName name="z_GMEG0H0133_MO_CCFS_inventoriesandoperatingleasevehicles">Model!$514:$514</definedName>
    <definedName name="z_GMEG0H0133_MO_CCFS_Inventory_1">Model!$512:$512</definedName>
    <definedName name="z_GMEG0H0133_MO_CCFS_inventorywritedowns">Model!$499:$499</definedName>
    <definedName name="z_GMEG0H0133_MO_CCFS_maturitiesofshorttermmarketablesecurities">Model!$538:$538</definedName>
    <definedName name="z_GMEG0H0133_MO_CCFS_mypowernotesreceivable">Model!$516:$516</definedName>
    <definedName name="z_GMEG0H0133_MO_CCFS_Netborrowingsundervehicleandsolarfinancing">Model!$546:$546</definedName>
    <definedName name="z_GMEG0H0133_MO_CCFS_NetborrowingsunderWarehouseAgreementsandautomotiveassetbackednotes">Model!$547:$547</definedName>
    <definedName name="z_GMEG0H0133_MO_CCFS_Netcashflowsfromdebtactivities">Model!$544:$544</definedName>
    <definedName name="z_GMEG0H0133_MO_CCFS_netcashflowsfromnoncontrollinginterests">Model!$548:$548</definedName>
    <definedName name="z_GMEG0H0133_MO_CCFS_NetCFF">Model!$571:$571</definedName>
    <definedName name="z_GMEG0H0133_MO_CCFS_NetCFI">Model!$541:$541</definedName>
    <definedName name="z_GMEG0H0133_MO_CCFS_NetCFO">Model!$526:$526</definedName>
    <definedName name="z_GMEG0H0133_MO_CCFS_NetChangeinCashBalance">Model!$574:$574</definedName>
    <definedName name="z_GMEG0H0133_MO_CCFS_netloss">Model!$494:$494</definedName>
    <definedName name="z_GMEG0H0133_MO_CCFS_Noncashinterestandotheroperatingactivities">Model!$503:$503</definedName>
    <definedName name="z_GMEG0H0133_MO_CCFS_Operatingcashflowrelatedtorepaymentofdiscountedconvertiblenotes">Model!$498:$498</definedName>
    <definedName name="z_GMEG0H0133_MO_CCFS_Operatingleasevehicles">Model!$513:$513</definedName>
    <definedName name="z_GMEG0H0133_MO_CCFS_Other_6">"Deleted"</definedName>
    <definedName name="z_GMEG0H0133_MO_CCFS_Other_7">Model!$570:$570</definedName>
    <definedName name="z_GMEG0H0133_MO_CCFS_Otherassets">Model!$517:$517</definedName>
    <definedName name="z_GMEG0H0133_MO_CCFS_Otherlongtermliabilities">Model!$524:$524</definedName>
    <definedName name="z_GMEG0H0133_MO_CCFS_Othernoncashoperatingactivities">Model!$502:$502</definedName>
    <definedName name="z_GMEG0H0133_MO_CCFS_paymentforsettlementsofwarrants">Model!$556:$556</definedName>
    <definedName name="z_GMEG0H0133_MO_CCFS_Paymentsforbuyoutsofnoncontrollinginterestsinsubsidiaries">Model!$568:$568</definedName>
    <definedName name="z_GMEG0H0133_MO_CCFS_paymentsofthecostofsolarenergysystems">Model!$530:$530</definedName>
    <definedName name="z_GMEG0H0133_MO_CCFS_Prepaidexpensesandothercurrentassets">Model!$515:$515</definedName>
    <definedName name="z_GMEG0H0133_MO_CCFS_Principalpaymentsoncapitalleasesandotherdebt">Model!$564:$564</definedName>
    <definedName name="z_GMEG0H0133_MO_CCFS_principalpaymentsondoeloans">Model!$560:$560</definedName>
    <definedName name="z_GMEG0H0133_MO_CCFS_proceedsfromdoeloans">Model!$549:$549</definedName>
    <definedName name="z_GMEG0H0133_MO_CCFS_Proceedsfromexerciseofstockoptionsandotherstockissuances">Model!$558:$558</definedName>
    <definedName name="z_GMEG0H0133_MO_CCFS_proceedsfrominvestmentbynci">Model!$567:$567</definedName>
    <definedName name="z_GMEG0H0133_MO_CCFS_proceedsfromissuanceofcommonstockinprivateplacement">Model!$559:$559</definedName>
    <definedName name="z_GMEG0H0133_MO_CCFS_proceedsfromissuanceofcommonstockinpublicoffering">Model!$552:$552</definedName>
    <definedName name="z_GMEG0H0133_MO_CCFS_Proceedsfromissuanceofconvertibleandotherdebt">Model!$550:$550</definedName>
    <definedName name="z_GMEG0H0133_MO_CCFS_proceedsfromissuanceofconvertiblepreferredstock">Model!$551:$551</definedName>
    <definedName name="z_GMEG0H0133_MO_CCFS_proceedsfromissuanceofwarrants">Model!$557:$557</definedName>
    <definedName name="z_GMEG0H0133_MO_CCFS_proceedsfromsaleofpropertyandequipment">Model!$540:$540</definedName>
    <definedName name="z_GMEG0H0133_MO_CCFS_Proceedsfromsalesofdigitalassets">Model!$534:$534</definedName>
    <definedName name="z_GMEG0H0133_MO_CCFS_proceedsfromsettlementofconvertiblenotehedges">Model!$555:$555</definedName>
    <definedName name="z_GMEG0H0133_MO_CCFS_purchaseofconvertiblenotehedges">Model!$561:$561</definedName>
    <definedName name="z_GMEG0H0133_MO_CCFS_Purchaseofintangibleassets">Model!$531:$531</definedName>
    <definedName name="z_GMEG0H0133_MO_CCFS_Purchasesofdigitalassets">Model!$533:$533</definedName>
    <definedName name="z_GMEG0H0133_MO_CCFS_purchasesofpropertyandequipmentexcludingcapitalleases">Model!$529:$529</definedName>
    <definedName name="z_GMEG0H0133_MO_CCFS_purchasesofshorttermmarketablesecurities">Model!$537:$537</definedName>
    <definedName name="z_GMEG0H0133_MO_CCFS_Receiptofgovernmentgrants">Model!$532:$532</definedName>
    <definedName name="z_GMEG0H0133_MO_CCFS_repaymentsofborrowingsundersolarbondsissuedtorelatedparties">Model!$553:$553</definedName>
    <definedName name="z_GMEG0H0133_MO_CCFS_Repaymentsofconvertibleandotherdebt">Model!$554:$554</definedName>
    <definedName name="z_GMEG0H0133_MO_CCFS_Repurchasesofcommonstock">Model!$562:$562</definedName>
    <definedName name="z_GMEG0H0133_MO_CCFS_resalevalueguarantee">Model!$523:$523</definedName>
    <definedName name="z_GMEG0H0133_MO_CCFS_stockbasedcompensation">Model!$496:$496</definedName>
    <definedName name="z_GMEG0H0133_MO_CCFS_withdrawalsoutofourdedicateddoeaccount">Model!$535:$535</definedName>
    <definedName name="z_GMEG0H0133_MO_CFS_accountspayableandaccruedliabilities">Model!$608:$608</definedName>
    <definedName name="z_GMEG0H0133_MO_CFS_accountsreceivable">Model!$601:$601</definedName>
    <definedName name="z_GMEG0H0133_MO_CFS_accruedliabilities">Model!$609:$609</definedName>
    <definedName name="z_GMEG0H0133_MO_CFS_Ammortizationofdebtdiscountsandissuancecosts">Model!$590:$590</definedName>
    <definedName name="z_GMEG0H0133_MO_CFS_amortizationofdepartmentofenergydoeloanoriginationcosts">Model!$594:$594</definedName>
    <definedName name="z_GMEG0H0133_MO_CFS_BeginningCashBalance">Model!$666:$666</definedName>
    <definedName name="z_GMEG0H0133_MO_CFS_Businessacquisition">Model!$629:$629</definedName>
    <definedName name="z_GMEG0H0133_MO_CFS_Cashpaidduringtheperiodforinterest">Model!$669:$669</definedName>
    <definedName name="z_GMEG0H0133_MO_CFS_Cashpaidduringtheperiodfortaxes">Model!$670:$670</definedName>
    <definedName name="z_GMEG0H0133_MO_CFS_CFCheck">Model!$672:$672</definedName>
    <definedName name="z_GMEG0H0133_MO_CFS_CFF">Model!$633:$633</definedName>
    <definedName name="z_GMEG0H0133_MO_CFS_CFI">Model!$618:$618</definedName>
    <definedName name="z_GMEG0H0133_MO_CFS_CFO">Model!$583:$583</definedName>
    <definedName name="z_GMEG0H0133_MO_CFS_CFObeforeWC">Model!$600:$600</definedName>
    <definedName name="z_GMEG0H0133_MO_CFS_changeinfairvalueofdoewarrantliability">Model!$595:$595</definedName>
    <definedName name="z_GMEG0H0133_MO_CFS_Changesinoperatingassetsandliabilities">Model!$615:$615</definedName>
    <definedName name="z_GMEG0H0133_MO_CFS_collateralizedleaseborrowing">Model!$635:$635</definedName>
    <definedName name="z_GMEG0H0133_MO_CFS_Commonstockandconvertibledebtissuancecosts">Model!$653:$653</definedName>
    <definedName name="z_GMEG0H0133_MO_CFS_customerdeposits">Model!$612:$612</definedName>
    <definedName name="z_GMEG0H0133_MO_CFS_Debtissuancecosts">Model!$655:$655</definedName>
    <definedName name="z_GMEG0H0133_MO_CFS_deferreddevelopmentcompensation">Model!$610:$610</definedName>
    <definedName name="z_GMEG0H0133_MO_CFS_deferredrevenue">Model!$611:$611</definedName>
    <definedName name="z_GMEG0H0133_MO_CFS_deferredtaxes">Model!$598:$598</definedName>
    <definedName name="z_GMEG0H0133_MO_CFS_depreciationandamortization">Model!$585:$585</definedName>
    <definedName name="z_GMEG0H0133_MO_CFS_Digitalassetsgain">Model!$597:$597</definedName>
    <definedName name="z_GMEG0H0133_MO_CFS_distributionspaidtononcontrollinginterestsinsubsidiaries">Model!$659:$659</definedName>
    <definedName name="z_GMEG0H0133_MO_CFS_Dividendspaid">Model!$656:$656</definedName>
    <definedName name="z_GMEG0H0133_MO_CFS_EndingCashBalance">Model!$667:$667</definedName>
    <definedName name="z_GMEG0H0133_MO_CFS_fixedassetdisposal">Model!$591:$591</definedName>
    <definedName name="z_GMEG0H0133_MO_CFS_foreigncurrencytransactiongainloss">Model!$599:$599</definedName>
    <definedName name="z_GMEG0H0133_MO_CFS_FX">Model!$663:$663</definedName>
    <definedName name="z_GMEG0H0133_MO_CFS_GainlossonacquisitionofSolarCity">Model!$587:$587</definedName>
    <definedName name="z_GMEG0H0133_MO_CFS_gainonextinguishmentofconvertiblenotesandwarrants">Model!$596:$596</definedName>
    <definedName name="z_GMEG0H0133_MO_CFS_Increasedecreaseinotherrestrictedcash">Model!$626:$626</definedName>
    <definedName name="z_GMEG0H0133_MO_CFS_inventoriesandoperatingleasevehicles">Model!$604:$604</definedName>
    <definedName name="z_GMEG0H0133_MO_CFS_Inventory_1">Model!$602:$602</definedName>
    <definedName name="z_GMEG0H0133_MO_CFS_inventorywritedowns">Model!$589:$589</definedName>
    <definedName name="z_GMEG0H0133_MO_CFS_maturitiesofshorttermmarketablesecurities">Model!$628:$628</definedName>
    <definedName name="z_GMEG0H0133_MO_CFS_mypowernotesreceivable">Model!$606:$606</definedName>
    <definedName name="z_GMEG0H0133_MO_CFS_Netborrowingsundervehicleandsolarfinancing">Model!$636:$636</definedName>
    <definedName name="z_GMEG0H0133_MO_CFS_NetborrowingsunderWarehouseAgreementsandautomotiveassetbackednotes">Model!$637:$637</definedName>
    <definedName name="z_GMEG0H0133_MO_CFS_Netcashflowsfromdebtactivities">Model!$634:$634</definedName>
    <definedName name="z_GMEG0H0133_MO_CFS_netcashflowsfromnoncontrollinginterests">Model!$638:$638</definedName>
    <definedName name="z_GMEG0H0133_MO_CFS_NetCFF">Model!$661:$661</definedName>
    <definedName name="z_GMEG0H0133_MO_CFS_NetCFI">Model!$631:$631</definedName>
    <definedName name="z_GMEG0H0133_MO_CFS_NetCFO">Model!$616:$616</definedName>
    <definedName name="z_GMEG0H0133_MO_CFS_NetChangeinCashBalance">Model!$664:$664</definedName>
    <definedName name="z_GMEG0H0133_MO_CFS_netloss">Model!$584:$584</definedName>
    <definedName name="z_GMEG0H0133_MO_CFS_Noncashinterestandotheroperatingactivities">Model!$593:$593</definedName>
    <definedName name="z_GMEG0H0133_MO_CFS_Operatingcashflowrelatedtorepaymentofdiscountedconvertiblenotes">Model!$588:$588</definedName>
    <definedName name="z_GMEG0H0133_MO_CFS_Operatingleasevehicles">Model!$603:$603</definedName>
    <definedName name="z_GMEG0H0133_MO_CFS_Other_6">"Deleted"</definedName>
    <definedName name="z_GMEG0H0133_MO_CFS_Other_7">Model!$660:$660</definedName>
    <definedName name="z_GMEG0H0133_MO_CFS_Otherassets">Model!$607:$607</definedName>
    <definedName name="z_GMEG0H0133_MO_CFS_Otherlongtermliabilities">Model!$614:$614</definedName>
    <definedName name="z_GMEG0H0133_MO_CFS_Othernoncashoperatingactivities">Model!$592:$592</definedName>
    <definedName name="z_GMEG0H0133_MO_CFS_paymentforsettlementsofwarrants">Model!$646:$646</definedName>
    <definedName name="z_GMEG0H0133_MO_CFS_Paymentsforbuyoutsofnoncontrollinginterestsinsubsidiaries">Model!$658:$658</definedName>
    <definedName name="z_GMEG0H0133_MO_CFS_paymentsofthecostofsolarenergysystems">Model!$620:$620</definedName>
    <definedName name="z_GMEG0H0133_MO_CFS_Prepaidexpensesandothercurrentassets">Model!$605:$605</definedName>
    <definedName name="z_GMEG0H0133_MO_CFS_Principalpaymentsoncapitalleasesandotherdebt">Model!$654:$654</definedName>
    <definedName name="z_GMEG0H0133_MO_CFS_principalpaymentsondoeloans">Model!$650:$650</definedName>
    <definedName name="z_GMEG0H0133_MO_CFS_proceedsfromdoeloans">Model!$639:$639</definedName>
    <definedName name="z_GMEG0H0133_MO_CFS_Proceedsfromexerciseofstockoptionsandotherstockissuances">Model!$648:$648</definedName>
    <definedName name="z_GMEG0H0133_MO_CFS_proceedsfrominvestmentbynci">Model!$657:$657</definedName>
    <definedName name="z_GMEG0H0133_MO_CFS_proceedsfromissuanceofcommonstockinprivateplacement">Model!$649:$649</definedName>
    <definedName name="z_GMEG0H0133_MO_CFS_proceedsfromissuanceofcommonstockinpublicoffering">Model!$642:$642</definedName>
    <definedName name="z_GMEG0H0133_MO_CFS_Proceedsfromissuanceofconvertibleandotherdebt">Model!$640:$640</definedName>
    <definedName name="z_GMEG0H0133_MO_CFS_proceedsfromissuanceofconvertiblepreferredstock">Model!$641:$641</definedName>
    <definedName name="z_GMEG0H0133_MO_CFS_proceedsfromissuanceofwarrants">Model!$647:$647</definedName>
    <definedName name="z_GMEG0H0133_MO_CFS_proceedsfromsaleofpropertyandequipment">Model!$630:$630</definedName>
    <definedName name="z_GMEG0H0133_MO_CFS_Proceedsfromsalesofdigitalassets">Model!$624:$624</definedName>
    <definedName name="z_GMEG0H0133_MO_CFS_proceedsfromsettlementofconvertiblenotehedges">Model!$645:$645</definedName>
    <definedName name="z_GMEG0H0133_MO_CFS_purchaseofconvertiblenotehedges">Model!$651:$651</definedName>
    <definedName name="z_GMEG0H0133_MO_CFS_Purchaseofintangibleassets">Model!$621:$621</definedName>
    <definedName name="z_GMEG0H0133_MO_CFS_Purchasesofdigitalassets">Model!$623:$623</definedName>
    <definedName name="z_GMEG0H0133_MO_CFS_purchasesofpropertyandequipmentexcludingcapitalleases">Model!$619:$619</definedName>
    <definedName name="z_GMEG0H0133_MO_CFS_purchasesofshorttermmarketablesecurities">Model!$627:$627</definedName>
    <definedName name="z_GMEG0H0133_MO_CFS_Receiptofgovernmentgrants">Model!$622:$622</definedName>
    <definedName name="z_GMEG0H0133_MO_CFS_repaymentsofborrowingsundersolarbondsissuedtorelatedparties">Model!$643:$643</definedName>
    <definedName name="z_GMEG0H0133_MO_CFS_Repaymentsofconvertibleandotherdebt">Model!$644:$644</definedName>
    <definedName name="z_GMEG0H0133_MO_CFS_Repurchasesofcommonstock">Model!$652:$652</definedName>
    <definedName name="z_GMEG0H0133_MO_CFS_resalevalueguarantee">Model!$613:$613</definedName>
    <definedName name="z_GMEG0H0133_MO_CFS_stockbasedcompensation">Model!$586:$586</definedName>
    <definedName name="z_GMEG0H0133_MO_CFS_withdrawalsoutofourdedicateddoeaccount">Model!$625:$625</definedName>
    <definedName name="z_GMEG0H0133_MO_CFSum_Acquisitions">Model!$437:$437</definedName>
    <definedName name="z_GMEG0H0133_MO_CFSum_Capex">Model!$435:$435</definedName>
    <definedName name="z_GMEG0H0133_MO_CFSum_CashFlowPerDilutedShare">Model!$433:$433</definedName>
    <definedName name="z_GMEG0H0133_MO_CFSum_ConsensusEstimatesCapex">Model!$436:$436</definedName>
    <definedName name="z_GMEG0H0133_MO_CFSum_consensusestimatescashflowperdilutedshare">Model!$434:$434</definedName>
    <definedName name="z_GMEG0H0133_MO_CFSum_Divestiture">Model!$438:$438</definedName>
    <definedName name="z_GMEG0H0133_MO_CFSum_DividendPaid">Model!$439:$439</definedName>
    <definedName name="z_GMEG0H0133_MO_CFSum_DividendPerShare">Model!$440:$440</definedName>
    <definedName name="z_GMEG0H0133_MO_CFSum_EstimatedSharePriceforIssuanceBuybacks">Model!$444:$444</definedName>
    <definedName name="z_GMEG0H0133_MO_CFSum_FCF">Model!$446:$446</definedName>
    <definedName name="z_GMEG0H0133_MO_CFSum_FCF_1">Model!$447:$447</definedName>
    <definedName name="z_GMEG0H0133_MO_CFSum_FCF_2">Model!$448:$448</definedName>
    <definedName name="z_GMEG0H0133_MO_CFSum_FCFPostDivDebtBuyback">Model!$449:$449</definedName>
    <definedName name="z_GMEG0H0133_MO_CFSum_NetDebtIssuanceRepayment">Model!$442:$442</definedName>
    <definedName name="z_GMEG0H0133_MO_CFSum_NetShareIssuanceBuybacks">Model!$443:$443</definedName>
    <definedName name="z_GMEG0H0133_MO_CFSum_OperatingCashFlowbeforeWC">Model!$432:$432</definedName>
    <definedName name="z_GMEG0H0133_MO_Checks_SNA_AdjustedNumbersFYSumofQs">Model!$806:$806</definedName>
    <definedName name="z_GMEG0H0133_MO_Checks_SNA_BalanceSheetisnotRepeated">Model!$802:$802</definedName>
    <definedName name="z_GMEG0H0133_MO_Checks_SNA_CapexisUpdated">Model!$804:$804</definedName>
    <definedName name="z_GMEG0H0133_MO_Checks_SNA_CashFlowisnotRepeated">Model!$800:$800</definedName>
    <definedName name="z_GMEG0H0133_MO_Checks_SNA_CashFlowSummarySignsareCorrect">Model!$807:$807</definedName>
    <definedName name="z_GMEG0H0133_MO_Checks_SNA_CashisPositive">Model!$795:$795</definedName>
    <definedName name="z_GMEG0H0133_MO_Checks_SNA_CFFsubtotalFYSumofQs">Model!$813:$813</definedName>
    <definedName name="z_GMEG0H0133_MO_Checks_SNA_CFIsubtotalFYSumofQs">Model!$812:$812</definedName>
    <definedName name="z_GMEG0H0133_MO_Checks_SNA_CFOBeforeWCsubtotalFYSumofQs">Model!$810:$810</definedName>
    <definedName name="z_GMEG0H0133_MO_Checks_SNA_CFSummaryFYSumofQs">Model!$814:$814</definedName>
    <definedName name="z_GMEG0H0133_MO_Checks_SNA_DebtisPositive">Model!$796:$796</definedName>
    <definedName name="z_GMEG0H0133_MO_Checks_SNA_EndingCFEndingCumulativeCF">Model!$803:$803</definedName>
    <definedName name="z_GMEG0H0133_MO_Checks_SNA_IncomeStatementisnotRepeated">Model!$801:$801</definedName>
    <definedName name="z_GMEG0H0133_MO_Checks_SNA_MarginisUpdated">Model!$805:$805</definedName>
    <definedName name="z_GMEG0H0133_MO_Checks_SNA_NetIncomeonReportedISNIonRevised">Model!$794:$794</definedName>
    <definedName name="z_GMEG0H0133_MO_Checks_SNA_NetIncomeonRevisedISNIonCFstatement">Model!$793:$793</definedName>
    <definedName name="z_GMEG0H0133_MO_Checks_SNA_RISAdjustedNIFYSumofQs">Model!$809:$809</definedName>
    <definedName name="z_GMEG0H0133_MO_Checks_SNA_RISEBITEBIT">Model!$798:$798</definedName>
    <definedName name="z_GMEG0H0133_MO_Checks_SNA_RISEBITOperatingEBIT">Model!$797:$797</definedName>
    <definedName name="z_GMEG0H0133_MO_Checks_SNA_RISNIFYSumofQs">Model!$808:$808</definedName>
    <definedName name="z_GMEG0H0133_MO_Checks_SNA_SegmentedRevenueRevenue">Model!$799:$799</definedName>
    <definedName name="z_GMEG0H0133_MO_DAF_AmortizationaspercentageofIntangiblesBoP">Model!$705:$705</definedName>
    <definedName name="z_GMEG0H0133_MO_DAF_Amortizationofintangibles">Model!$699:$699</definedName>
    <definedName name="z_GMEG0H0133_MO_DAF_Capexofintangibles">Model!$700:$700</definedName>
    <definedName name="z_GMEG0H0133_MO_DAF_CapexofPPE">Model!$694:$694</definedName>
    <definedName name="z_GMEG0H0133_MO_DAF_DepreciationaspercentageofPPEBoP">Model!$704:$704</definedName>
    <definedName name="z_GMEG0H0133_MO_DAF_Depreciationoffixedassets">Model!$693:$693</definedName>
    <definedName name="z_GMEG0H0133_MO_DAF_Impliedlifeoffixedassets">Model!$706:$706</definedName>
    <definedName name="z_GMEG0H0133_MO_DAF_Impliedlifeofintangibles">Model!$707:$707</definedName>
    <definedName name="z_GMEG0H0133_MO_DAF_IntangiblesBoP">Model!$698:$698</definedName>
    <definedName name="z_GMEG0H0133_MO_DAF_IntangiblesEoP">Model!$702:$702</definedName>
    <definedName name="z_GMEG0H0133_MO_DAF_Othernetadditionstointangibles">Model!$701:$701</definedName>
    <definedName name="z_GMEG0H0133_MO_DAF_OthernetadditionstoPPE">Model!$695:$695</definedName>
    <definedName name="z_GMEG0H0133_MO_DAF_Percentageofcapexallocatedtointangibleassets">Model!$711:$711</definedName>
    <definedName name="z_GMEG0H0133_MO_DAF_PPEBoP">Model!$692:$692</definedName>
    <definedName name="z_GMEG0H0133_MO_DAF_PPEEoP">Model!$696:$696</definedName>
    <definedName name="z_GMEG0H0133_MO_DAF_TotalCapex">Model!$710:$710</definedName>
    <definedName name="z_GMEG0H0133_MO_DAF_TotalDA">Model!$709:$709</definedName>
    <definedName name="z_GMEG0H0133_MO_Header_ColumnHeader">Model!$5:$5</definedName>
    <definedName name="z_GMEG0H0133_MO_Header_CompanySubTitle">Model!$2:$2</definedName>
    <definedName name="z_GMEG0H0133_MO_Header_CompanyTitle">Model!$1:$1</definedName>
    <definedName name="z_GMEG0H0133_MO_Header_FPDays">Model!$3:$3</definedName>
    <definedName name="z_GMEG0H0133_MO_Header_HeaderRow">'Supplemental Data'!$1:$1</definedName>
    <definedName name="z_GMEG0H0133_MO_Header_HeaderRow_1">'Supplemental Data'!$2:$2</definedName>
    <definedName name="z_GMEG0H0133_MO_Header_HeaderRow_2">'Supplemental Data'!$3:$3</definedName>
    <definedName name="z_GMEG0H0133_MO_Header_HeaderRow_3">'Supplemental Data'!$4:$4</definedName>
    <definedName name="z_GMEG0H0133_MO_Header_HeaderRow_4">'Supplemental Data'!$5:$5</definedName>
    <definedName name="z_GMEG0H0133_MO_Header_QEndDate">Model!$4:$4</definedName>
    <definedName name="z_GMEG0H0133_MO_IS_automotive">Model!$333:$333</definedName>
    <definedName name="z_GMEG0H0133_MO_IS_automotive_1">Model!$338:$338</definedName>
    <definedName name="z_GMEG0H0133_MO_IS_automotiveleasing">Model!$334:$334</definedName>
    <definedName name="z_GMEG0H0133_MO_IS_automotiveleasing_1">Model!$339:$339</definedName>
    <definedName name="z_GMEG0H0133_MO_IS_energygenerationandstorage">Model!$335:$335</definedName>
    <definedName name="z_GMEG0H0133_MO_IS_energygenerationandstorage_1">Model!$340:$340</definedName>
    <definedName name="z_GMEG0H0133_MO_IS_grossprofit">Model!$343:$343</definedName>
    <definedName name="z_GMEG0H0133_MO_IS_interestexpense">Model!$350:$350</definedName>
    <definedName name="z_GMEG0H0133_MO_IS_interestincome">Model!$349:$349</definedName>
    <definedName name="z_GMEG0H0133_MO_IS_ISCheck">Model!$358:$358</definedName>
    <definedName name="z_GMEG0H0133_MO_IS_lossbeforeincometaxes">Model!$352:$352</definedName>
    <definedName name="z_GMEG0H0133_MO_IS_lossfromoperations">Model!$348:$348</definedName>
    <definedName name="z_GMEG0H0133_MO_IS_netincomelossattributabletononcontrollinginterests">Model!$355:$355</definedName>
    <definedName name="z_GMEG0H0133_MO_IS_netloss">Model!$354:$354</definedName>
    <definedName name="z_GMEG0H0133_MO_IS_netlosstocommonstockholders">Model!$356:$356</definedName>
    <definedName name="z_GMEG0H0133_MO_IS_Otherincomeexpense">Model!$351:$351</definedName>
    <definedName name="z_GMEG0H0133_MO_IS_provisionforincometaxes">Model!$353:$353</definedName>
    <definedName name="z_GMEG0H0133_MO_IS_researchanddevelopment">Model!$344:$344</definedName>
    <definedName name="z_GMEG0H0133_MO_IS_Restructuringandother">Model!$346:$346</definedName>
    <definedName name="z_GMEG0H0133_MO_IS_selling">Model!$345:$345</definedName>
    <definedName name="z_GMEG0H0133_MO_IS_Servicesandother">Model!$336:$336</definedName>
    <definedName name="z_GMEG0H0133_MO_IS_Servicesandother_1">Model!$341:$341</definedName>
    <definedName name="z_GMEG0H0133_MO_IS_totalcostofrevenues">Model!$342:$342</definedName>
    <definedName name="z_GMEG0H0133_MO_IS_totaloperatingexpenses">Model!$347:$347</definedName>
    <definedName name="z_GMEG0H0133_MO_IS_totalrevenues">Model!$337:$337</definedName>
    <definedName name="z_GMEG0H0133_MO_MA_AddbackDAMargin">Model!$326:$326</definedName>
    <definedName name="z_GMEG0H0133_MO_MA_AddbackSBCMargin">Model!$327:$327</definedName>
    <definedName name="z_GMEG0H0133_MO_MA_AdjustedEBITDAMargin">Model!$329:$329</definedName>
    <definedName name="z_GMEG0H0133_MO_MA_AdjustedEBITMargin">Model!$323:$323</definedName>
    <definedName name="z_GMEG0H0133_MO_MA_AutomotiveGrossMargin">Model!$313:$313</definedName>
    <definedName name="z_GMEG0H0133_MO_MA_AutomotiveLeasingGrossMargin">Model!$314:$314</definedName>
    <definedName name="z_GMEG0H0133_MO_MA_AverageFXRate">Model!$484:$484</definedName>
    <definedName name="z_GMEG0H0133_MO_MA_COGSMargin_3">Model!$312:$312</definedName>
    <definedName name="z_GMEG0H0133_MO_MA_COGSMarginExcludingDA_1">Model!$309:$309</definedName>
    <definedName name="z_GMEG0H0133_MO_MA_consensusestimatesadjustedebitdamargin">Model!$330:$330</definedName>
    <definedName name="z_GMEG0H0133_MO_MA_ConsensusEstimatesAdjustedEBITMargin">Model!$324:$324</definedName>
    <definedName name="z_GMEG0H0133_MO_MA_consensusestimatesgrossmargin">Model!$318:$318</definedName>
    <definedName name="z_GMEG0H0133_MO_MA_EBITDAMargin">Model!$328:$328</definedName>
    <definedName name="z_GMEG0H0133_MO_MA_EBITMargin">Model!$322:$322</definedName>
    <definedName name="z_GMEG0H0133_MO_MA_EnergygenerationandstorageGrossMargin">Model!$316:$316</definedName>
    <definedName name="z_GMEG0H0133_MO_MA_EVSalesAvg">Model!$475:$475</definedName>
    <definedName name="z_GMEG0H0133_MO_MA_GrossMargin_3">Model!$317:$317</definedName>
    <definedName name="z_GMEG0H0133_MO_MA_GrossMarginExcludingDA_1">Model!$310:$310</definedName>
    <definedName name="z_GMEG0H0133_MO_MA_RDMargin_1">Model!$321:$321</definedName>
    <definedName name="z_GMEG0H0133_MO_MA_ServicesandotherGrossMargin">Model!$315:$315</definedName>
    <definedName name="z_GMEG0H0133_MO_MA_SGAMargin_1">Model!$320:$320</definedName>
    <definedName name="z_GMEG0H0133_MO_MA_StockPriceTradingCurAvg">Model!$485:$485</definedName>
    <definedName name="z_GMEG0H0133_MO_OS_Accountspayable">Model!$678:$678</definedName>
    <definedName name="z_GMEG0H0133_MO_OS_AccountspayableYYChange">Model!$686:$686</definedName>
    <definedName name="z_GMEG0H0133_MO_OS_Accountsreceivable">Model!$675:$675</definedName>
    <definedName name="z_GMEG0H0133_MO_OS_AccountsreceivableYYChange">Model!$683:$683</definedName>
    <definedName name="z_GMEG0H0133_MO_OS_Accruedliabilitiesandother">Model!$679:$679</definedName>
    <definedName name="z_GMEG0H0133_MO_OS_AccruedliabilitiesandotherYYChange">Model!$687:$687</definedName>
    <definedName name="z_GMEG0H0133_MO_OS_AccruedWarrantyBoP_1">'Supplemental Data'!$7:$7</definedName>
    <definedName name="z_GMEG0H0133_MO_OS_AccruedWarrantyEoP_1">'Supplemental Data'!$13:$13</definedName>
    <definedName name="z_GMEG0H0133_MO_OS_Accumulateddepreciation">Model!$161:$161</definedName>
    <definedName name="z_GMEG0H0133_MO_OS_Additionaldeferredrevenuerecordedinautomotiveleasingrevenueasaresultofearlycancellationofresalevalueguarantee">'Supplemental Data'!$55:$55</definedName>
    <definedName name="z_GMEG0H0133_MO_OS_Additionaldepreciationexpenserecordedincostofautomotiverevenuesasaresultofearlycancellationofresalevalueguarantee_1">'Supplemental Data'!$45:$45</definedName>
    <definedName name="z_GMEG0H0133_MO_OS_Additionaldepreciationexpenserecordedincostofautomotiverevenuesasaresultofexpirationandexercisesofresalevalueguarantee_1">'Supplemental Data'!$46:$46</definedName>
    <definedName name="z_GMEG0H0133_MO_OS_Additionalresalerevenuerecordedinautomotiveleasingrevenueasaresultofearlycancellationofresalevalueguarantee">'Supplemental Data'!$62:$62</definedName>
    <definedName name="z_GMEG0H0133_MO_OS_Additionalwarrantyaccruedfromadoptionofthenewrevenuestandard_1">'Supplemental Data'!$11:$11</definedName>
    <definedName name="z_GMEG0H0133_MO_OS_Additiontooperatingleasevehiclesbalance">Model!$150:$150</definedName>
    <definedName name="z_GMEG0H0133_MO_OS_AdjustedEBIT">Model!$279:$279</definedName>
    <definedName name="z_GMEG0H0133_MO_OS_AdjustedEBITMargin">Model!$283:$283</definedName>
    <definedName name="z_GMEG0H0133_MO_OS_Amortizationofdeferredrevenueandshorttermcollateralizedborrowingrecordedinautomotiveleasingrevenue_1">'Supplemental Data'!$54:$54</definedName>
    <definedName name="z_GMEG0H0133_MO_OS_Amortizationofleasedassets_1">'Supplemental Data'!$33:$33</definedName>
    <definedName name="z_GMEG0H0133_MO_OS_Asiarevenue_1">'Supplemental Data'!$105:$105</definedName>
    <definedName name="z_GMEG0H0133_MO_OS_AssetFinancinginPeriod_1">'Supplemental Data'!$100:$100</definedName>
    <definedName name="z_GMEG0H0133_MO_OS_Assumedwarrantyliabilityfromacquisition_1">'Supplemental Data'!$8:$8</definedName>
    <definedName name="z_GMEG0H0133_MO_OS_automotivecogs">Model!$235:$235</definedName>
    <definedName name="z_GMEG0H0133_MO_OS_AutomotiveCOGSmix">Model!$248:$248</definedName>
    <definedName name="z_GMEG0H0133_MO_OS_Automotivegrossprofit">Model!$241:$241</definedName>
    <definedName name="z_GMEG0H0133_MO_OS_AutomotiveGrossProfit_1">Model!$129:$129</definedName>
    <definedName name="z_GMEG0H0133_MO_OS_AutomotiveGrossProfitMargin">Model!$130:$130</definedName>
    <definedName name="z_GMEG0H0133_MO_OS_automotiveleasingcogs">Model!$236:$236</definedName>
    <definedName name="z_GMEG0H0133_MO_OS_AutomotiveleasingCOGS_3">Model!$175:$175</definedName>
    <definedName name="z_GMEG0H0133_MO_OS_AutomotiveleasingCOGSexclDA">Model!$174:$174</definedName>
    <definedName name="z_GMEG0H0133_MO_OS_AutomotiveleasingCOGSmix">Model!$249:$249</definedName>
    <definedName name="z_GMEG0H0133_MO_OS_AutomotiveLeasingGrossMargin">Model!$177:$177</definedName>
    <definedName name="z_GMEG0H0133_MO_OS_AutomotiveLeasingGrossProfit">Model!$176:$176</definedName>
    <definedName name="z_GMEG0H0133_MO_OS_Automotiveleasinggrossprofit_1">Model!$242:$242</definedName>
    <definedName name="z_GMEG0H0133_MO_OS_automotiveleasingrevenue">Model!$225:$225</definedName>
    <definedName name="z_GMEG0H0133_MO_OS_AutomotiveLeasingRevenue_3">Model!$167:$167</definedName>
    <definedName name="z_GMEG0H0133_MO_OS_Automotiveleasingrevenue_4">Model!$35:$35</definedName>
    <definedName name="z_GMEG0H0133_MO_OS_Automotiveleasingrevenuemix">Model!$230:$230</definedName>
    <definedName name="z_GMEG0H0133_MO_OS_Automotiveregulatorycredits">Model!$123:$123</definedName>
    <definedName name="z_GMEG0H0133_MO_OS_Automotiveregulatorycreditsasofautomotivesales">Model!$117:$117</definedName>
    <definedName name="z_GMEG0H0133_MO_OS_automotiverevenue">Model!$224:$224</definedName>
    <definedName name="z_GMEG0H0133_MO_OS_AutomotiveRevenue_3">Model!$125:$125</definedName>
    <definedName name="z_GMEG0H0133_MO_OS_Automotiverevenue_4">Model!$34:$34</definedName>
    <definedName name="z_GMEG0H0133_MO_OS_Automotiverevenuemix">Model!$229:$229</definedName>
    <definedName name="z_GMEG0H0133_MO_OS_Automotivesales_3">Model!$121:$121</definedName>
    <definedName name="z_GMEG0H0133_MO_OS_AutomotiveSalesandAutomotiveLeasingRevenue">Model!$181:$181</definedName>
    <definedName name="z_GMEG0H0133_MO_OS_Automotivesaleswithoutresalevalueguarantee">Model!$119:$119</definedName>
    <definedName name="z_GMEG0H0133_MO_OS_Automotivesaleswithresalevalueguarantee">Model!$120:$120</definedName>
    <definedName name="z_GMEG0H0133_MO_OS_AutomotiveServicesandOtherRevenue">Model!$37:$37</definedName>
    <definedName name="z_GMEG0H0133_MO_OS_Averagecumulativeinstalledcustomers_1">'Supplemental Data'!$78:$78</definedName>
    <definedName name="z_GMEG0H0133_MO_OS_averagenetsolarenergysystemsleasedandtobeleasedbalance">Model!$206:$206</definedName>
    <definedName name="z_GMEG0H0133_MO_OS_AverageOperatingLeaseVehicles_1">'Supplemental Data'!$50:$50</definedName>
    <definedName name="z_GMEG0H0133_MO_OS_AverageperUnitPriceofVehiclesDeliveredLeasing_1">'Supplemental Data'!$69:$69</definedName>
    <definedName name="z_GMEG0H0133_MO_OS_CalculatedAggregatevalueofvehiclesdeliveredLeasing_1">'Supplemental Data'!$70:$70</definedName>
    <definedName name="z_GMEG0H0133_MO_OS_CancellationasofBoPoperatingleasevehiclesannualized">Model!$155:$155</definedName>
    <definedName name="z_GMEG0H0133_MO_OS_Cancellationtooperatingleasevehiclesbalance">Model!$149:$149</definedName>
    <definedName name="z_GMEG0H0133_MO_OS_Changeinaccumulateddepreciationasofnetoperatingleasevehicles">Model!$171:$171</definedName>
    <definedName name="z_GMEG0H0133_MO_OS_Changeinaccumulateddepreciationforleasedvehicles">Model!$173:$173</definedName>
    <definedName name="z_GMEG0H0133_MO_OS_changeinleasedassets">Model!$204:$204</definedName>
    <definedName name="z_GMEG0H0133_MO_OS_Chinarevenue_1">'Supplemental Data'!$17:$17</definedName>
    <definedName name="z_GMEG0H0133_MO_OS_Chinarevenuemix">'Supplemental Data'!$24:$24</definedName>
    <definedName name="z_GMEG0H0133_MO_OS_CommercialMWinstalled_1">'Supplemental Data'!$88:$88</definedName>
    <definedName name="z_GMEG0H0133_MO_OS_ConsensusEstimatesAdjustedEBIT">Model!$280:$280</definedName>
    <definedName name="z_GMEG0H0133_MO_OS_ConsensusEstimatesAdjustedEBITMargin">Model!$284:$284</definedName>
    <definedName name="z_GMEG0H0133_MO_OS_ConsensusEstimatesGrossMargin">Model!$260:$260</definedName>
    <definedName name="z_GMEG0H0133_MO_OS_ConsensusEstimatesNetRevenue">Model!$49:$49</definedName>
    <definedName name="z_GMEG0H0133_MO_OS_ContractedMWDeployed_1">'Supplemental Data'!$96:$96</definedName>
    <definedName name="z_GMEG0H0133_MO_OS_Costperwatt_1">'Supplemental Data'!$94:$94</definedName>
    <definedName name="z_GMEG0H0133_MO_OS_Cumulativeenergycontracts_1">'Supplemental Data'!$82:$82</definedName>
    <definedName name="z_GMEG0H0133_MO_OS_CumulativeinstalledcustomersBOP_1">'Supplemental Data'!$75:$75</definedName>
    <definedName name="z_GMEG0H0133_MO_OS_CumulativeinstalledcustomersEOP_1">'Supplemental Data'!$77:$77</definedName>
    <definedName name="z_GMEG0H0133_MO_OS_Cumulativemegawattsdeployed_1">'Supplemental Data'!$83:$83</definedName>
    <definedName name="z_GMEG0H0133_MO_OS_Cumulativemegawattsinstalled_1">'Supplemental Data'!$84:$84</definedName>
    <definedName name="z_GMEG0H0133_MO_OS_Customerdeposits">Model!$681:$681</definedName>
    <definedName name="z_GMEG0H0133_MO_OS_CustomerdepositsYYChange">Model!$689:$689</definedName>
    <definedName name="z_GMEG0H0133_MO_OS_CybertruckTeslaSemiannualproductioncapacityinTexas">Model!$77:$77</definedName>
    <definedName name="z_GMEG0H0133_MO_OS_CybertruckTeslaSemicapacityutilization">Model!$82:$82</definedName>
    <definedName name="z_GMEG0H0133_MO_OS_CybertruckTeslaSemideliveriesasofproduction">Model!$69:$69</definedName>
    <definedName name="z_GMEG0H0133_MO_OS_CybertruckTeslaSemiproduction">Model!$60:$60</definedName>
    <definedName name="z_GMEG0H0133_MO_OS_CybertruckTeslaSemiproduction_1">Model!$9:$9</definedName>
    <definedName name="z_GMEG0H0133_MO_OS_Deferredrevenue_2">Model!$680:$680</definedName>
    <definedName name="z_GMEG0H0133_MO_OS_DeferredRevenueBoP_1">'Supplemental Data'!$52:$52</definedName>
    <definedName name="z_GMEG0H0133_MO_OS_DeferredRevenueEoP_1">'Supplemental Data'!$57:$57</definedName>
    <definedName name="z_GMEG0H0133_MO_OS_DeferredrevenueYYChange">Model!$688:$688</definedName>
    <definedName name="z_GMEG0H0133_MO_OS_DeliveriesnotsubjecttoOperatingLease">Model!$20:$20</definedName>
    <definedName name="z_GMEG0H0133_MO_OS_DepreciationCost_1">'Supplemental Data'!$47:$47</definedName>
    <definedName name="z_GMEG0H0133_MO_OS_Depreciationexpenserecordedincostofautomotiverevenues_1">'Supplemental Data'!$44:$44</definedName>
    <definedName name="z_GMEG0H0133_MO_OS_Destinationchargerconnectors_1">Model!$306:$306</definedName>
    <definedName name="z_GMEG0H0133_MO_OS_Differenceofgrosscostperoperatingleasevehicleandimpliedpricepervehicle">Model!$164:$164</definedName>
    <definedName name="z_GMEG0H0133_MO_OS_EBIT">Model!$274:$274</definedName>
    <definedName name="z_GMEG0H0133_MO_OS_EBITMargin">Model!$276:$276</definedName>
    <definedName name="z_GMEG0H0133_MO_OS_energygenerationandstoragecogs">Model!$238:$238</definedName>
    <definedName name="z_GMEG0H0133_MO_OS_EnergygenerationandstorageCOGSmix">Model!$251:$251</definedName>
    <definedName name="z_GMEG0H0133_MO_OS_Energygenerationandstoragegrossprofit">Model!$244:$244</definedName>
    <definedName name="z_GMEG0H0133_MO_OS_EnergyGenerationandStorageGrossProfit_1">Model!$217:$217</definedName>
    <definedName name="z_GMEG0H0133_MO_OS_EnergyGenerationandStorageGrossProfitMargin">Model!$218:$218</definedName>
    <definedName name="z_GMEG0H0133_MO_OS_Energygenerationandstorageleasing_1">Model!$211:$211</definedName>
    <definedName name="z_GMEG0H0133_MO_OS_Energygenerationandstorageleasinggrowth">Model!$212:$212</definedName>
    <definedName name="z_GMEG0H0133_MO_OS_energygenerationandstoragerevenue">Model!$227:$227</definedName>
    <definedName name="z_GMEG0H0133_MO_OS_EnergyGenerationandStorageRevenue_2">Model!$214:$214</definedName>
    <definedName name="z_GMEG0H0133_MO_OS_Energygenerationandstoragerevenue_4">Model!$45:$45</definedName>
    <definedName name="z_GMEG0H0133_MO_OS_EnergyGenerationandStorageRevenueGrowth">Model!$215:$215</definedName>
    <definedName name="z_GMEG0H0133_MO_OS_Energygenerationandstoragerevenuemix">Model!$232:$232</definedName>
    <definedName name="z_GMEG0H0133_MO_OS_Energygenerationandstoragesales_1">Model!$200:$200</definedName>
    <definedName name="z_GMEG0H0133_MO_OS_Energygenerationandstoragesalesgrowth">Model!$201:$201</definedName>
    <definedName name="z_GMEG0H0133_MO_OS_EOPOperatingleasevehiclecount">Model!$151:$151</definedName>
    <definedName name="z_GMEG0H0133_MO_OS_EoPOperatingLeaseVehicleCount_1">Model!$30:$30</definedName>
    <definedName name="z_GMEG0H0133_MO_OS_Europerevenue_1">'Supplemental Data'!$104:$104</definedName>
    <definedName name="z_GMEG0H0133_MO_OS_GAcostperwatt_1">'Supplemental Data'!$93:$93</definedName>
    <definedName name="z_GMEG0H0133_MO_OS_Globalinventory">Model!$85:$85</definedName>
    <definedName name="z_GMEG0H0133_MO_OS_GlobalInventory_1">Model!$24:$24</definedName>
    <definedName name="z_GMEG0H0133_MO_OS_GrossCostofOperatingLeaseVehicles">Model!$160:$160</definedName>
    <definedName name="z_GMEG0H0133_MO_OS_Grosscostperoperatingleasevehicle">Model!$163:$163</definedName>
    <definedName name="z_GMEG0H0133_MO_OS_GrossMargin">Model!$259:$259</definedName>
    <definedName name="z_GMEG0H0133_MO_OS_GrossProfit">Model!$257:$257</definedName>
    <definedName name="z_GMEG0H0133_MO_OS_GrowthinModel3andModelYcarsdelivered">Model!$95:$95</definedName>
    <definedName name="z_GMEG0H0133_MO_OS_GrowthinModelSandModelXcarsdelivered">Model!$92:$92</definedName>
    <definedName name="z_GMEG0H0133_MO_OS_GrowthinTotalDeliveries">Model!$101:$101</definedName>
    <definedName name="z_GMEG0H0133_MO_OS_Growthintrucksdelivered">Model!$98:$98</definedName>
    <definedName name="z_GMEG0H0133_MO_OS_impliedpriceperdelivery">Model!$113:$113</definedName>
    <definedName name="z_GMEG0H0133_MO_OS_ImpliedPricePerDelivery_1">Model!$26:$26</definedName>
    <definedName name="z_GMEG0H0133_MO_OS_Increaseininventoryfromvehiclesreturned_1">'Supplemental Data'!$48:$48</definedName>
    <definedName name="z_GMEG0H0133_MO_OS_Increaseinoperatingleasevehicles_1">'Supplemental Data'!$43:$43</definedName>
    <definedName name="z_GMEG0H0133_MO_OS_Increaseinrelatevalueguarantee_1">'Supplemental Data'!$60:$60</definedName>
    <definedName name="z_GMEG0H0133_MO_OS_Installationcostperwatt_1">'Supplemental Data'!$91:$91</definedName>
    <definedName name="z_GMEG0H0133_MO_OS_Interestonleaseliabilities_1">'Supplemental Data'!$34:$34</definedName>
    <definedName name="z_GMEG0H0133_MO_OS_Inventory">Model!$676:$676</definedName>
    <definedName name="z_GMEG0H0133_MO_OS_InventoryYYChange">Model!$684:$684</definedName>
    <definedName name="z_GMEG0H0133_MO_OS_Megawattsdeployed_1">'Supplemental Data'!$86:$86</definedName>
    <definedName name="z_GMEG0H0133_MO_OS_Megawattsinstalled_1">'Supplemental Data'!$89:$89</definedName>
    <definedName name="z_GMEG0H0133_MO_OS_Mobileservicefleet_1">Model!$302:$302</definedName>
    <definedName name="z_GMEG0H0133_MO_OS_Model3andModelYcarsdelivered">Model!$136:$136</definedName>
    <definedName name="z_GMEG0H0133_MO_OS_Model3andModelYCarsDelivered_1">Model!$15:$15</definedName>
    <definedName name="z_GMEG0H0133_MO_OS_Model3annualproductioncapacityinShanghai">Model!$74:$74</definedName>
    <definedName name="z_GMEG0H0133_MO_OS_model3carsdelivered">Model!$93:$93</definedName>
    <definedName name="z_GMEG0H0133_MO_OS_Model3ModelYannualproductioncapacityinBerlin">Model!$75:$75</definedName>
    <definedName name="z_GMEG0H0133_MO_OS_Model3ModelYannualproductioncapacityinCalifornia">"Deleted"</definedName>
    <definedName name="z_GMEG0H0133_MO_OS_Model3ModelYannualproductioncapacityinFremont">Model!$73:$73</definedName>
    <definedName name="z_GMEG0H0133_MO_OS_Model3ModelYannualproductioncapacityinTexas">Model!$76:$76</definedName>
    <definedName name="z_GMEG0H0133_MO_OS_Model3ModelYcapacityutilization">Model!$81:$81</definedName>
    <definedName name="z_GMEG0H0133_MO_OS_Model3Ydeliveriesasofproduction">Model!$68:$68</definedName>
    <definedName name="z_GMEG0H0133_MO_OS_Model3Ydeliveriesmix">Model!$105:$105</definedName>
    <definedName name="z_GMEG0H0133_MO_OS_Model3Ydeliveriessubjecttoleaseaccounting">Model!$141:$141</definedName>
    <definedName name="z_GMEG0H0133_MO_OS_Model3Yproduction">Model!$57:$57</definedName>
    <definedName name="z_GMEG0H0133_MO_OS_Model3Yproduction_1">Model!$8:$8</definedName>
    <definedName name="z_GMEG0H0133_MO_OS_Model3Ysoldunderleaseaccounting">Model!$145:$145</definedName>
    <definedName name="z_GMEG0H0133_MO_OS_ModelSandModelXcarsdelivered">Model!$135:$135</definedName>
    <definedName name="z_GMEG0H0133_MO_OS_ModelSandModelXCarsDelivered_1">Model!$14:$14</definedName>
    <definedName name="z_GMEG0H0133_MO_OS_ModelSandModelXleasedvehiclecumulativegrowth_1">'Supplemental Data'!$72:$72</definedName>
    <definedName name="z_GMEG0H0133_MO_OS_ModelSandModelXleasedvehiclegrowth_1">'Supplemental Data'!$71:$71</definedName>
    <definedName name="z_GMEG0H0133_MO_OS_modelscarsdelivered">Model!$88:$88</definedName>
    <definedName name="z_GMEG0H0133_MO_OS_ModelSModelXannualproductioncapacityinCalifornia">"Deleted"</definedName>
    <definedName name="z_GMEG0H0133_MO_OS_ModelSModelXannualproductioncapacityinFremont">Model!$72:$72</definedName>
    <definedName name="z_GMEG0H0133_MO_OS_ModelSModelXcapacityutilization">Model!$80:$80</definedName>
    <definedName name="z_GMEG0H0133_MO_OS_ModelSXdeliveriesasofproduction">Model!$67:$67</definedName>
    <definedName name="z_GMEG0H0133_MO_OS_ModelSXdeliveriesmix">Model!$104:$104</definedName>
    <definedName name="z_GMEG0H0133_MO_OS_ModelSXdeliveriessubjecttoleaseaccounting">Model!$140:$140</definedName>
    <definedName name="z_GMEG0H0133_MO_OS_ModelSXproduction">Model!$54:$54</definedName>
    <definedName name="z_GMEG0H0133_MO_OS_ModelSXproduction_1">Model!$7:$7</definedName>
    <definedName name="z_GMEG0H0133_MO_OS_ModelSXsoldunderleaseaccounting">Model!$144:$144</definedName>
    <definedName name="z_GMEG0H0133_MO_OS_modelxcarsdelivered">Model!$89:$89</definedName>
    <definedName name="z_GMEG0H0133_MO_OS_NetChange_3">'Supplemental Data'!$76:$76</definedName>
    <definedName name="z_GMEG0H0133_MO_OS_Netchangesinliabilityforpreexistingwarrantiesincludingexpirationsandforeignexchangeimpact_1">'Supplemental Data'!$10:$10</definedName>
    <definedName name="z_GMEG0H0133_MO_OS_Netherlandsrevenue_1">'Supplemental Data'!$18:$18</definedName>
    <definedName name="z_GMEG0H0133_MO_OS_Netherlandsrevenuemix">'Supplemental Data'!$25:$25</definedName>
    <definedName name="z_GMEG0H0133_MO_OS_Netincreaseindeferredrevenuefromnewvehicledeliveriesandreclassificationofcollateralizedborrowingfromlongtermtoshortterm_1">'Supplemental Data'!$53:$53</definedName>
    <definedName name="z_GMEG0H0133_MO_OS_NetOperatingLeaseVehicles_2">Model!$162:$162</definedName>
    <definedName name="z_GMEG0H0133_MO_OS_netsolarenergysystemsleasedandtobeleasedbop">Model!$203:$203</definedName>
    <definedName name="z_GMEG0H0133_MO_OS_netsolarenergysystemsleasedandtobeleasedeop">Model!$205:$205</definedName>
    <definedName name="z_GMEG0H0133_MO_OS_NetSolarEnergySystemsLeasedandtobeLeasedEoP_1">Model!$43:$43</definedName>
    <definedName name="z_GMEG0H0133_MO_OS_NorthAmericarevenue_1">'Supplemental Data'!$103:$103</definedName>
    <definedName name="z_GMEG0H0133_MO_OS_Norwayrevenue_1">'Supplemental Data'!$19:$19</definedName>
    <definedName name="z_GMEG0H0133_MO_OS_Norwayrevenuemix">'Supplemental Data'!$26:$26</definedName>
    <definedName name="z_GMEG0H0133_MO_OS_Onetimeoperatingitems">Model!$273:$273</definedName>
    <definedName name="z_GMEG0H0133_MO_OS_OperatingExpenseForecasting">Model!$254:$254</definedName>
    <definedName name="z_GMEG0H0133_MO_OS_Operatingleaseexpense_1">'Supplemental Data'!$32:$32</definedName>
    <definedName name="z_GMEG0H0133_MO_OS_OperatingLeaseVehicleCountAvg">Model!$154:$154</definedName>
    <definedName name="z_GMEG0H0133_MO_OS_OperatingLeaseVehicleCountBoP">Model!$148:$148</definedName>
    <definedName name="z_GMEG0H0133_MO_OS_OperatingLeaseVehiclesBOP_1">'Supplemental Data'!$42:$42</definedName>
    <definedName name="z_GMEG0H0133_MO_OS_OperatingLeaseVehiclesEOP_1">'Supplemental Data'!$49:$49</definedName>
    <definedName name="z_GMEG0H0133_MO_OS_Otherinternationalrevenue_1">'Supplemental Data'!$20:$20</definedName>
    <definedName name="z_GMEG0H0133_MO_OS_Otherinternationalrevenuemix">'Supplemental Data'!$27:$27</definedName>
    <definedName name="z_GMEG0H0133_MO_OS_Otherrevenue_1">'Supplemental Data'!$21:$21</definedName>
    <definedName name="z_GMEG0H0133_MO_OS_Otherrevenuemix">'Supplemental Data'!$28:$28</definedName>
    <definedName name="z_GMEG0H0133_MO_OS_Prepaidexpensesandothercurrentassets">Model!$677:$677</definedName>
    <definedName name="z_GMEG0H0133_MO_OS_PrepaidexpensesandothercurrentassetsYYChange">Model!$685:$685</definedName>
    <definedName name="z_GMEG0H0133_MO_OS_Provisionforwarranty_1">'Supplemental Data'!$12:$12</definedName>
    <definedName name="z_GMEG0H0133_MO_OS_QQAutomotiveleasingrevenuegrowth">Model!$168:$168</definedName>
    <definedName name="z_GMEG0H0133_MO_OS_QQAutomotiverevenuegrowth">Model!$126:$126</definedName>
    <definedName name="z_GMEG0H0133_MO_OS_QQAutomotiveSalesandAutomotiveLeasingRevenueGrowth">Model!$182:$182</definedName>
    <definedName name="z_GMEG0H0133_MO_OS_QQAutomotiveservicesandotherrevenuegrowth">Model!$38:$38</definedName>
    <definedName name="z_GMEG0H0133_MO_OS_QQCybertruckTeslaSemiproductiongrowth">Model!$61:$61</definedName>
    <definedName name="z_GMEG0H0133_MO_OS_QQdeliveriesnotsubjecttooperatingleasegrowth">Model!$21:$21</definedName>
    <definedName name="z_GMEG0H0133_MO_OS_QQdeliveriesnotsubjecttooperatingleasegrowth_1">Model!$110:$110</definedName>
    <definedName name="z_GMEG0H0133_MO_OS_QQEnergygenerationandstoragerevenuegrowth">Model!$46:$46</definedName>
    <definedName name="z_GMEG0H0133_MO_OS_QQEoPoperatingleasevehiclecountgrowth">Model!$31:$31</definedName>
    <definedName name="z_GMEG0H0133_MO_OS_QQimpliedpriceperdeliverygrowth">Model!$27:$27</definedName>
    <definedName name="z_GMEG0H0133_MO_OS_QQimpliedpriceperdeliverygrowth_1">Model!$114:$114</definedName>
    <definedName name="z_GMEG0H0133_MO_OS_QQModel3andModelYcarsdeliveredgrowth">Model!$94:$94</definedName>
    <definedName name="z_GMEG0H0133_MO_OS_QQModel3Yproductiongrowth">Model!$58:$58</definedName>
    <definedName name="z_GMEG0H0133_MO_OS_QQModelSandModelXcarsdeliveredgrowth">Model!$91:$91</definedName>
    <definedName name="z_GMEG0H0133_MO_OS_QQModelSXproductiongrowth">Model!$55:$55</definedName>
    <definedName name="z_GMEG0H0133_MO_OS_QQOperatingleasevehiclecountgrowthEoP">Model!$152:$152</definedName>
    <definedName name="z_GMEG0H0133_MO_OS_QQServicesandOtherRevenuegrowth">Model!$187:$187</definedName>
    <definedName name="z_GMEG0H0133_MO_OS_QQtotaldeliveriesgrowth">Model!$18:$18</definedName>
    <definedName name="z_GMEG0H0133_MO_OS_QQTotaldeliveriesgrowth_1">Model!$100:$100</definedName>
    <definedName name="z_GMEG0H0133_MO_OS_QQtotalproductiongrowth">Model!$11:$11</definedName>
    <definedName name="z_GMEG0H0133_MO_OS_QQtotalproductiongrowth_1">Model!$64:$64</definedName>
    <definedName name="z_GMEG0H0133_MO_OS_QQTotalrevenuegrowth">Model!$50:$50</definedName>
    <definedName name="z_GMEG0H0133_MO_OS_QQTrucksdeliveredgrowth">Model!$97:$97</definedName>
    <definedName name="z_GMEG0H0133_MO_OS_RDExpense">Model!$268:$268</definedName>
    <definedName name="z_GMEG0H0133_MO_OS_RDMargin">Model!$270:$270</definedName>
    <definedName name="z_GMEG0H0133_MO_OS_Reclassificationfromlongtermtoshorttermcollateralizedborrowing_1">'Supplemental Data'!$61:$61</definedName>
    <definedName name="z_GMEG0H0133_MO_OS_Recognitionofdeferredrevenueresultingfromreturnofvehicleundertradeinprogramexpirationandexercisesofresalevalueguarantee_1">'Supplemental Data'!$56:$56</definedName>
    <definedName name="z_GMEG0H0133_MO_OS_Releaseofresalevalueguaranteeresultingfromexpirationofresalevalueguarantee_1">'Supplemental Data'!$64:$64</definedName>
    <definedName name="z_GMEG0H0133_MO_OS_Releaseofresalevalueguaranteeresultingfromreturnofvehicleundertradeinprogramandexercises_1">'Supplemental Data'!$63:$63</definedName>
    <definedName name="z_GMEG0H0133_MO_OS_RenewalMWDeployed_1">'Supplemental Data'!$97:$97</definedName>
    <definedName name="z_GMEG0H0133_MO_OS_RentExpense_1">'Supplemental Data'!$38:$38</definedName>
    <definedName name="z_GMEG0H0133_MO_OS_ResaleValueGuaranteeLiabilityBoP_1">'Supplemental Data'!$59:$59</definedName>
    <definedName name="z_GMEG0H0133_MO_OS_ResaleValueGuaranteeLiabilityEoP_1">'Supplemental Data'!$65:$65</definedName>
    <definedName name="z_GMEG0H0133_MO_OS_ResidentialMWinstalled_1">'Supplemental Data'!$87:$87</definedName>
    <definedName name="z_GMEG0H0133_MO_OS_Residentialsolarcashloan">Model!$221:$221</definedName>
    <definedName name="z_GMEG0H0133_MO_OS_Revenue_3">Model!$255:$255</definedName>
    <definedName name="z_GMEG0H0133_MO_OS_Revenuepercumulativeinstalledcustomers_1">'Supplemental Data'!$80:$80</definedName>
    <definedName name="z_GMEG0H0133_MO_OS_revenuerecognizedonaverageleasedassets">Model!$209:$209</definedName>
    <definedName name="z_GMEG0H0133_MO_OS_Roadsterdeliveriesmix">Model!$103:$103</definedName>
    <definedName name="z_GMEG0H0133_MO_OS_Salescostperwatt_1">'Supplemental Data'!$92:$92</definedName>
    <definedName name="z_GMEG0H0133_MO_OS_ServicesandotherCOGS">Model!$237:$237</definedName>
    <definedName name="z_GMEG0H0133_MO_OS_ServicesandotherCOGSmix">Model!$250:$250</definedName>
    <definedName name="z_GMEG0H0133_MO_OS_Servicesandothergrossprofit">Model!$243:$243</definedName>
    <definedName name="z_GMEG0H0133_MO_OS_ServicesandOtherGrossProfit_1">Model!$190:$190</definedName>
    <definedName name="z_GMEG0H0133_MO_OS_ServicesandOtherGrossProfitMargin">Model!$191:$191</definedName>
    <definedName name="z_GMEG0H0133_MO_OS_Servicesandotherrevenue">Model!$226:$226</definedName>
    <definedName name="z_GMEG0H0133_MO_OS_Servicesandotherrevenue_4">Model!$36:$36</definedName>
    <definedName name="z_GMEG0H0133_MO_OS_ServicesandOtherRevenue_5">Model!$186:$186</definedName>
    <definedName name="z_GMEG0H0133_MO_OS_Servicesandotherrevenueasofautomotivesalesandautomotiveleasingrevenue">Model!$185:$185</definedName>
    <definedName name="z_GMEG0H0133_MO_OS_Servicesandotherrevenuemix">Model!$231:$231</definedName>
    <definedName name="z_GMEG0H0133_MO_OS_SGAExpense">Model!$263:$263</definedName>
    <definedName name="z_GMEG0H0133_MO_OS_SGAMargin">Model!$265:$265</definedName>
    <definedName name="z_GMEG0H0133_MO_OS_Solardeployed">Model!$195:$195</definedName>
    <definedName name="z_GMEG0H0133_MO_OS_Solardeployed_1">Model!$41:$41</definedName>
    <definedName name="z_GMEG0H0133_MO_OS_Storagedeployed">Model!$197:$197</definedName>
    <definedName name="z_GMEG0H0133_MO_OS_Storagedeployed_1">Model!$42:$42</definedName>
    <definedName name="z_GMEG0H0133_MO_OS_Storeandservicelocations_1">Model!$301:$301</definedName>
    <definedName name="z_GMEG0H0133_MO_OS_Superchargerconnectors_1">Model!$305:$305</definedName>
    <definedName name="z_GMEG0H0133_MO_OS_Superchargerstations_1">Model!$304:$304</definedName>
    <definedName name="z_GMEG0H0133_MO_OS_Superchargerstations_2">"Deleted"</definedName>
    <definedName name="z_GMEG0H0133_MO_OS_Teslaroadstersdelivered">Model!$87:$87</definedName>
    <definedName name="z_GMEG0H0133_MO_OS_TeslaRoadstersdelivered_1">Model!$134:$134</definedName>
    <definedName name="z_GMEG0H0133_MO_OS_totalcogs">Model!$239:$239</definedName>
    <definedName name="z_GMEG0H0133_MO_OS_TotalCOGSMix">Model!$252:$252</definedName>
    <definedName name="z_GMEG0H0133_MO_OS_totaldeliveries">Model!$99:$99</definedName>
    <definedName name="z_GMEG0H0133_MO_OS_TotalDeliveries_4">Model!$17:$17</definedName>
    <definedName name="z_GMEG0H0133_MO_OS_TotalDeliveries_5">Model!$138:$138</definedName>
    <definedName name="z_GMEG0H0133_MO_OS_TotalDeliveriesasofProduction">Model!$70:$70</definedName>
    <definedName name="z_GMEG0H0133_MO_OS_TotalDeliveriesMix">Model!$107:$107</definedName>
    <definedName name="z_GMEG0H0133_MO_OS_TotalDeliveriessubjecttoleaseaccounting">Model!$142:$142</definedName>
    <definedName name="z_GMEG0H0133_MO_OS_Totalfinanceleaseexpense_1">'Supplemental Data'!$35:$35</definedName>
    <definedName name="z_GMEG0H0133_MO_OS_TotalGrossMargin">Model!$246:$246</definedName>
    <definedName name="z_GMEG0H0133_MO_OS_TotalGrossProfit">Model!$245:$245</definedName>
    <definedName name="z_GMEG0H0133_MO_OS_TotalLeaseExpense_1">'Supplemental Data'!$36:$36</definedName>
    <definedName name="z_GMEG0H0133_MO_OS_TotalModel3ModelYAnnualProductionCapacity">Model!$78:$78</definedName>
    <definedName name="z_GMEG0H0133_MO_OS_totalmodelsandmodelxcarsdelivered">Model!$90:$90</definedName>
    <definedName name="z_GMEG0H0133_MO_OS_TotalProduction">Model!$63:$63</definedName>
    <definedName name="z_GMEG0H0133_MO_OS_TotalProduction_1">Model!$10:$10</definedName>
    <definedName name="z_GMEG0H0133_MO_OS_totalrevenue">Model!$228:$228</definedName>
    <definedName name="z_GMEG0H0133_MO_OS_TotalRevenue_5">Model!$48:$48</definedName>
    <definedName name="z_GMEG0H0133_MO_OS_TotalRevenue_6">'Supplemental Data'!$22:$22</definedName>
    <definedName name="z_GMEG0H0133_MO_OS_TotalRevenue_8">'Supplemental Data'!$106:$106</definedName>
    <definedName name="z_GMEG0H0133_MO_OS_TotalRevenueMix">Model!$233:$233</definedName>
    <definedName name="z_GMEG0H0133_MO_OS_TotalRevenueMix_1">'Supplemental Data'!$29:$29</definedName>
    <definedName name="z_GMEG0H0133_MO_OS_Trucksdelivered">Model!$96:$96</definedName>
    <definedName name="z_GMEG0H0133_MO_OS_Trucksdelivered_1">Model!$137:$137</definedName>
    <definedName name="z_GMEG0H0133_MO_OS_TrucksDelivered_2">Model!$16:$16</definedName>
    <definedName name="z_GMEG0H0133_MO_OS_Trucksdeliveriesmix">Model!$106:$106</definedName>
    <definedName name="z_GMEG0H0133_MO_OS_UnitedStatesrevenue_1">'Supplemental Data'!$16:$16</definedName>
    <definedName name="z_GMEG0H0133_MO_OS_UnitedStatesrevenuemix">'Supplemental Data'!$23:$23</definedName>
    <definedName name="z_GMEG0H0133_MO_OS_ValueofMWDeployed_1">'Supplemental Data'!$98:$98</definedName>
    <definedName name="z_GMEG0H0133_MO_OS_VehiclesDeliveredLeasing_1">'Supplemental Data'!$68:$68</definedName>
    <definedName name="z_GMEG0H0133_MO_OS_Vehiclessoldunderleaseaccounting">Model!$146:$146</definedName>
    <definedName name="z_GMEG0H0133_MO_OS_Warrantycostsincurred_1">'Supplemental Data'!$9:$9</definedName>
    <definedName name="z_GMEG0H0133_MO_OS_YoYchangeinPriceperDelivery">Model!$115:$115</definedName>
    <definedName name="z_GMEG0H0133_MO_OS_YYAutomotiveleasingrevenuegrowth">Model!$169:$169</definedName>
    <definedName name="z_GMEG0H0133_MO_OS_YYautomotiveregulatorycreditsrevenue">Model!$124:$124</definedName>
    <definedName name="z_GMEG0H0133_MO_OS_YYAutomotiverevenuegrowth">Model!$127:$127</definedName>
    <definedName name="z_GMEG0H0133_MO_OS_YYAutomotiveSalesandAutomotiveLeasingRevenueGrowth">Model!$183:$183</definedName>
    <definedName name="z_GMEG0H0133_MO_OS_YYautomotivesalesgrowth">Model!$122:$122</definedName>
    <definedName name="z_GMEG0H0133_MO_OS_YYAutomotiveservicesandotherrevenuegrowth">Model!$39:$39</definedName>
    <definedName name="z_GMEG0H0133_MO_OS_YYCybertruckTeslaSemiproductiongrowth">Model!$62:$62</definedName>
    <definedName name="z_GMEG0H0133_MO_OS_YYdeliveriesnotsubjecttooperatingleasegrowth">Model!$22:$22</definedName>
    <definedName name="z_GMEG0H0133_MO_OS_YYdeliveriesnotsubjecttooperatingleasegrowth_1">Model!$111:$111</definedName>
    <definedName name="z_GMEG0H0133_MO_OS_YYEnergygenerationandstoragerevenuegrowth">Model!$47:$47</definedName>
    <definedName name="z_GMEG0H0133_MO_OS_YYEoPoperatingleasevehiclecountgrowth">Model!$32:$32</definedName>
    <definedName name="z_GMEG0H0133_MO_OS_YYgrowthinadjustedEBIT">Model!$281:$281</definedName>
    <definedName name="z_GMEG0H0133_MO_OS_YYgrowthinEBIT">Model!$275:$275</definedName>
    <definedName name="z_GMEG0H0133_MO_OS_YYgrowthinGrossprofit">Model!$258:$258</definedName>
    <definedName name="z_GMEG0H0133_MO_OS_YYgrowthinRDexpense">Model!$269:$269</definedName>
    <definedName name="z_GMEG0H0133_MO_OS_YYgrowthinSGAexpense">Model!$264:$264</definedName>
    <definedName name="z_GMEG0H0133_MO_OS_YYgrowthofgrosscostperoperatingleasevehicle">Model!$165:$165</definedName>
    <definedName name="z_GMEG0H0133_MO_OS_YYimpliedpriceperdeliverygrowth">Model!$28:$28</definedName>
    <definedName name="z_GMEG0H0133_MO_OS_YYimprovementinadjustedEBITMargin">Model!$285:$285</definedName>
    <definedName name="z_GMEG0H0133_MO_OS_YYimprovementinAutomotiveGrossProfitMargin">Model!$131:$131</definedName>
    <definedName name="z_GMEG0H0133_MO_OS_YYimprovementinAutomotiveLeasingGrossProfitMargin">Model!$178:$178</definedName>
    <definedName name="z_GMEG0H0133_MO_OS_YYimprovementinEBITMargin">Model!$277:$277</definedName>
    <definedName name="z_GMEG0H0133_MO_OS_YYimprovementinEnergyGenerationandStorageGrossProfitMargin">Model!$219:$219</definedName>
    <definedName name="z_GMEG0H0133_MO_OS_YYimprovementinGrossMargin">Model!$261:$261</definedName>
    <definedName name="z_GMEG0H0133_MO_OS_YYimprovementinRDMargin">Model!$271:$271</definedName>
    <definedName name="z_GMEG0H0133_MO_OS_YYimprovementinServicesandOtherGrossProfitMargin">Model!$192:$192</definedName>
    <definedName name="z_GMEG0H0133_MO_OS_YYimprovementinSGAMargin">Model!$266:$266</definedName>
    <definedName name="z_GMEG0H0133_MO_OS_YYLeaserevenuepervehiclegrowth">Model!$158:$158</definedName>
    <definedName name="z_GMEG0H0133_MO_OS_YYModel3Yproductiongrowth">Model!$59:$59</definedName>
    <definedName name="z_GMEG0H0133_MO_OS_YYModelSXproductiongrowth">Model!$56:$56</definedName>
    <definedName name="z_GMEG0H0133_MO_OS_YYNetSolarEnergySystemsLeasedandtobeLeasedAvgGrowth">Model!$207:$207</definedName>
    <definedName name="z_GMEG0H0133_MO_OS_YYOperatingleasevehiclecountgrowthEoP">Model!$153:$153</definedName>
    <definedName name="z_GMEG0H0133_MO_OS_YYServicesandotherrevenuegrowth">Model!$188:$188</definedName>
    <definedName name="z_GMEG0H0133_MO_OS_YYSolardeployedgrowth">Model!$196:$196</definedName>
    <definedName name="z_GMEG0H0133_MO_OS_YYStoragedeployedgrowth">Model!$198:$198</definedName>
    <definedName name="z_GMEG0H0133_MO_OS_YYtotaldeliveriesgrowth">Model!$19:$19</definedName>
    <definedName name="z_GMEG0H0133_MO_OS_YYtotalproductiongrowth">Model!$12:$12</definedName>
    <definedName name="z_GMEG0H0133_MO_OS_YYtotalproductiongrowth_1">Model!$65:$65</definedName>
    <definedName name="z_GMEG0H0133_MO_OS_YYTotalrevenuegrowth">Model!$51:$51</definedName>
    <definedName name="z_GMEG0H0133_MO_RIS_AdjustedEarningsPerShareWAD">Model!$424:$424</definedName>
    <definedName name="z_GMEG0H0133_MO_RIS_AdjustedEBITDANoAdjustments">Model!$397:$397</definedName>
    <definedName name="z_GMEG0H0133_MO_RIS_AdjustedEBITNoAdjustments">Model!$391:$391</definedName>
    <definedName name="z_GMEG0H0133_MO_RIS_AdjustedNetIncome">Model!$417:$417</definedName>
    <definedName name="z_GMEG0H0133_MO_RIS_AdjustedSharesOutstandingWAD">Model!$429:$429</definedName>
    <definedName name="z_GMEG0H0133_MO_RIS_AdjustmentsforConvertibleSecurities">Model!$413:$413</definedName>
    <definedName name="z_GMEG0H0133_MO_RIS_COGS_1">Model!$384:$384</definedName>
    <definedName name="z_GMEG0H0133_MO_RIS_consensusestimatesadjustedearningspersharewad">Model!$425:$425</definedName>
    <definedName name="z_GMEG0H0133_MO_RIS_ConsensusEstimatesAdjustedEBIT_1">Model!$392:$392</definedName>
    <definedName name="z_GMEG0H0133_MO_RIS_consensusestimatesadjustedebitda">Model!$398:$398</definedName>
    <definedName name="z_GMEG0H0133_MO_RIS_consensusestimatesnetrevenue">Model!$382:$382</definedName>
    <definedName name="z_GMEG0H0133_MO_RIS_Currenttax">Model!$406:$406</definedName>
    <definedName name="z_GMEG0H0133_MO_RIS_Currenttaxrate">Model!$419:$419</definedName>
    <definedName name="z_GMEG0H0133_MO_RIS_DA">Model!$394:$394</definedName>
    <definedName name="z_GMEG0H0133_MO_RIS_Deferredtax">Model!$407:$407</definedName>
    <definedName name="z_GMEG0H0133_MO_RIS_Deferredtaxrate">Model!$420:$420</definedName>
    <definedName name="z_GMEG0H0133_MO_RIS_DilutedNetIncometoCommonShareholders">Model!$414:$414</definedName>
    <definedName name="z_GMEG0H0133_MO_RIS_DiscontinuedOperations">Model!$409:$409</definedName>
    <definedName name="z_GMEG0H0133_MO_RIS_EarningsPerShareWAB">Model!$422:$422</definedName>
    <definedName name="z_GMEG0H0133_MO_RIS_EarningsPerShareWAD">Model!$423:$423</definedName>
    <definedName name="z_GMEG0H0133_MO_RIS_EBIT_2">Model!$390:$390</definedName>
    <definedName name="z_GMEG0H0133_MO_RIS_EBITDA">Model!$396:$396</definedName>
    <definedName name="z_GMEG0H0133_MO_RIS_EBT">Model!$404:$404</definedName>
    <definedName name="z_GMEG0H0133_MO_RIS_GrossProfit">Model!$385:$385</definedName>
    <definedName name="z_GMEG0H0133_MO_RIS_Interestexpense">Model!$400:$400</definedName>
    <definedName name="z_GMEG0H0133_MO_RIS_Interestincome">Model!$401:$401</definedName>
    <definedName name="z_GMEG0H0133_MO_RIS_NetIncomefromContinuedOperation">Model!$408:$408</definedName>
    <definedName name="z_GMEG0H0133_MO_RIS_NetIncometoCommonShareholders">Model!$412:$412</definedName>
    <definedName name="z_GMEG0H0133_MO_RIS_NetIncometoNCI">Model!$410:$410</definedName>
    <definedName name="z_GMEG0H0133_MO_RIS_NetRevenue">Model!$381:$381</definedName>
    <definedName name="z_GMEG0H0133_MO_RIS_NonGAAPAdjustments">Model!$415:$415</definedName>
    <definedName name="z_GMEG0H0133_MO_RIS_NonGAAPAdjustmentsforDilutiveSecurities">Model!$416:$416</definedName>
    <definedName name="z_GMEG0H0133_MO_RIS_Onetimeitem">Model!$403:$403</definedName>
    <definedName name="z_GMEG0H0133_MO_RIS_Onetimeoperatingitems">Model!$389:$389</definedName>
    <definedName name="z_GMEG0H0133_MO_RIS_Otheritems">Model!$402:$402</definedName>
    <definedName name="z_GMEG0H0133_MO_RIS_Preferredstockdividends">Model!$411:$411</definedName>
    <definedName name="z_GMEG0H0133_MO_RIS_RD_1">Model!$388:$388</definedName>
    <definedName name="z_GMEG0H0133_MO_RIS_SBC">Model!$395:$395</definedName>
    <definedName name="z_GMEG0H0133_MO_RIS_SGA_1">Model!$387:$387</definedName>
    <definedName name="z_GMEG0H0133_MO_RIS_SharesOutstandingWAB">Model!$427:$427</definedName>
    <definedName name="z_GMEG0H0133_MO_RIS_SharesOutstandingWAD">Model!$428:$428</definedName>
    <definedName name="z_GMEG0H0133_MO_Section_AN_AdjustedNumbers">Model!$360:$360</definedName>
    <definedName name="z_GMEG0H0133_MO_Section_BS_BalanceSheet">Model!$713:$713</definedName>
    <definedName name="z_GMEG0H0133_MO_Section_BS_ModelChecks">Model!$792:$792</definedName>
    <definedName name="z_GMEG0H0133_MO_Section_BSS_BalanceSheetSummary">Model!$451:$451</definedName>
    <definedName name="z_GMEG0H0133_MO_Section_CCFS_CumulativeCashFlowStatement">Model!$492:$492</definedName>
    <definedName name="z_GMEG0H0133_MO_Section_CFS_CashFlowStatement">Model!$582:$582</definedName>
    <definedName name="z_GMEG0H0133_MO_Section_CFSum_CashFlowSummary">Model!$431:$431</definedName>
    <definedName name="z_GMEG0H0133_MO_Section_DAF_DAForecasting">Model!$691:$691</definedName>
    <definedName name="z_GMEG0H0133_MO_Section_IS_IncomeStatement">Model!$332:$332</definedName>
    <definedName name="z_GMEG0H0133_MO_Section_MA_MarginAnalysis">Model!$308:$308</definedName>
    <definedName name="z_GMEG0H0133_MO_Section_OS_Canalyst">'Supplemental Data'!$108:$108</definedName>
    <definedName name="z_GMEG0H0133_MO_Section_OS_KeyMetricsAccruedWarrantyFS">'Supplemental Data'!$6:$6</definedName>
    <definedName name="z_GMEG0H0133_MO_Section_OS_KeyMetricsDetailedAccountActivityrelatedtoResaleValueGuaranteeProgramandLeaseMDA_1">'Supplemental Data'!$41:$41</definedName>
    <definedName name="z_GMEG0H0133_MO_Section_OS_KeyMetricsHistorical">'Supplemental Data'!$40:$40</definedName>
    <definedName name="z_GMEG0H0133_MO_Section_OS_KeyMetricsLeaseCostandRentExpenseFS_1">'Supplemental Data'!$31:$31</definedName>
    <definedName name="z_GMEG0H0133_MO_Section_OS_KeyMetricsLeasedVehiclesDeliveredHistorical_1">'Supplemental Data'!$67:$67</definedName>
    <definedName name="z_GMEG0H0133_MO_Section_OS_KeyMetricsRevenueBreakdownbyGeographyFS">'Supplemental Data'!$15:$15</definedName>
    <definedName name="z_GMEG0H0133_MO_Section_OS_KeyMetricsSolarCitySegmentHistorical_1">'Supplemental Data'!$74:$74</definedName>
    <definedName name="z_GMEG0H0133_MO_Section_OS_KeyMetricsSupportNetworkPR">Model!$300:$300</definedName>
    <definedName name="z_GMEG0H0133_MO_Section_OS_OperatingStatsAutomotiveDeliveriesPR">Model!$84:$84</definedName>
    <definedName name="z_GMEG0H0133_MO_Section_OS_OperatingStatsAutomotiveLeaseMDA">Model!$133:$133</definedName>
    <definedName name="z_GMEG0H0133_MO_Section_OS_OperatingStatsEnergyGenerationandStorageMDA">Model!$194:$194</definedName>
    <definedName name="z_GMEG0H0133_MO_Section_OS_OperatingStatsProductionandCapacityPR">Model!$53:$53</definedName>
    <definedName name="z_GMEG0H0133_MO_Section_OS_SBCDABreakdownFSPR">Model!$287:$287</definedName>
    <definedName name="z_GMEG0H0133_MO_Section_OS_SegmentedResultsBreakdownFS">Model!$6:$6</definedName>
    <definedName name="z_GMEG0H0133_MO_Section_OS_SegmentedResultsRevenueBreakdownbyGeographyHistorical_1">'Supplemental Data'!$102:$102</definedName>
    <definedName name="z_GMEG0H0133_MO_Section_OS_SegmentedResultsServicesandOtherFSPR">Model!$180:$180</definedName>
    <definedName name="z_GMEG0H0133_MO_Section_OS_SegmentSummary">Model!$223:$223</definedName>
    <definedName name="z_GMEG0H0133_MO_Section_OS_WorkingCapitalForecasting">Model!$674:$674</definedName>
    <definedName name="z_GMEG0H0133_MO_Section_RIS_RevisedIncomeStatement">Model!$380:$380</definedName>
    <definedName name="z_GMEG0H0133_MO_Section_SNA_Canalyst">Model!$898:$898</definedName>
    <definedName name="z_GMEG0H0133_MO_Section_TB_Tables">Model!$816:$816</definedName>
    <definedName name="z_GMEG0H0133_MO_Section_VA_Valuation">Model!$469:$469</definedName>
    <definedName name="z_GMEG0H0133_MO_Unstructured_SNA_AdjustedEarningsPerShareWAD">Model!$833:$833</definedName>
    <definedName name="z_GMEG0H0133_MO_Unstructured_SNA_AdjustedEBITDANoAdjustments">Model!$831:$831</definedName>
    <definedName name="z_GMEG0H0133_MO_Unstructured_SNA_AdjustedEBITNoAdjustments">Model!$832:$832</definedName>
    <definedName name="z_GMEG0H0133_MO_Unstructured_SNA_Avg">Model!$827:$827</definedName>
    <definedName name="z_GMEG0H0133_MO_Unstructured_SNA_Bloomberg">Model!$855:$855</definedName>
    <definedName name="z_GMEG0H0133_MO_Unstructured_SNA_Bloomberg_1">Model!$862:$862</definedName>
    <definedName name="z_GMEG0H0133_MO_Unstructured_SNA_Bloomberg_2">Model!$869:$869</definedName>
    <definedName name="z_GMEG0H0133_MO_Unstructured_SNA_Bloomberg_3">Model!$876:$876</definedName>
    <definedName name="z_GMEG0H0133_MO_Unstructured_SNA_CapitalIQ">Model!$856:$856</definedName>
    <definedName name="z_GMEG0H0133_MO_Unstructured_SNA_CapitalIQ_1">Model!$863:$863</definedName>
    <definedName name="z_GMEG0H0133_MO_Unstructured_SNA_CapitalIQ_2">Model!$870:$870</definedName>
    <definedName name="z_GMEG0H0133_MO_Unstructured_SNA_CapitalIQ_3">Model!$877:$877</definedName>
    <definedName name="z_GMEG0H0133_MO_Unstructured_SNA_CFOsubtotalFYSumofQs">Model!$811:$811</definedName>
    <definedName name="z_GMEG0H0133_MO_Unstructured_SNA_ConsensusEstimatesAdjustedEarningsPerShareWAD">Model!$845:$845</definedName>
    <definedName name="z_GMEG0H0133_MO_Unstructured_SNA_ConsensusEstimatesAdjustedEBIT_1">Model!$844:$844</definedName>
    <definedName name="z_GMEG0H0133_MO_Unstructured_SNA_ConsensusEstimatesAdjustedEBITDA">Model!$843:$843</definedName>
    <definedName name="z_GMEG0H0133_MO_Unstructured_SNA_ConsensusEstimatesCapex">Model!$847:$847</definedName>
    <definedName name="z_GMEG0H0133_MO_Unstructured_SNA_ConsensusEstimatesCashFlowPerDilutedShare">Model!$846:$846</definedName>
    <definedName name="z_GMEG0H0133_MO_Unstructured_SNA_ConsensusEstimatesGrossMargin">Model!$841:$841</definedName>
    <definedName name="z_GMEG0H0133_MO_Unstructured_SNA_ConsensusEstimatesNetRevenue">Model!$842:$842</definedName>
    <definedName name="z_GMEG0H0133_MO_Unstructured_SNA_ConsensusEstimateTable">Model!$838:$838</definedName>
    <definedName name="z_GMEG0H0133_MO_Unstructured_SNA_CurrentFiscalYear">Model!$894:$894</definedName>
    <definedName name="z_GMEG0H0133_MO_Unstructured_SNA_DataSourceIndex">Model!$896:$896</definedName>
    <definedName name="z_GMEG0H0133_MO_Unstructured_SNA_EVEBITDAAvg">Model!$834:$834</definedName>
    <definedName name="z_GMEG0H0133_MO_Unstructured_SNA_FactSet">Model!$857:$857</definedName>
    <definedName name="z_GMEG0H0133_MO_Unstructured_SNA_FactSet_1">Model!$864:$864</definedName>
    <definedName name="z_GMEG0H0133_MO_Unstructured_SNA_FactSet_2">Model!$871:$871</definedName>
    <definedName name="z_GMEG0H0133_MO_Unstructured_SNA_FactSet_3">Model!$878:$878</definedName>
    <definedName name="z_GMEG0H0133_MO_Unstructured_SNA_FirstForecastFiscalYear">Model!$895:$895</definedName>
    <definedName name="z_GMEG0H0133_MO_Unstructured_SNA_FiscalPeriodStartDate">Model!$851:$851</definedName>
    <definedName name="z_GMEG0H0133_MO_Unstructured_SNA_FXAverageRealTimeOffSource">Model!$874:$874</definedName>
    <definedName name="z_GMEG0H0133_MO_Unstructured_SNA_FYorFQ">Model!$839:$839</definedName>
    <definedName name="z_GMEG0H0133_MO_Unstructured_SNA_GeneralTable">Model!$882:$882</definedName>
    <definedName name="z_GMEG0H0133_MO_Unstructured_SNA_High">Model!$825:$825</definedName>
    <definedName name="z_GMEG0H0133_MO_Unstructured_SNA_IsHistoricalPeriod">Model!$852:$852</definedName>
    <definedName name="z_GMEG0H0133_MO_Unstructured_SNA_KeyOutputs">Model!$829:$829</definedName>
    <definedName name="z_GMEG0H0133_MO_Unstructured_SNA_LastPrice">Model!$883:$883</definedName>
    <definedName name="z_GMEG0H0133_MO_Unstructured_SNA_LastPriceDate">Model!$884:$884</definedName>
    <definedName name="z_GMEG0H0133_MO_Unstructured_SNA_LastPriceFormula">Model!$886:$886</definedName>
    <definedName name="z_GMEG0H0133_MO_Unstructured_SNA_Low">Model!$826:$826</definedName>
    <definedName name="z_GMEG0H0133_MO_Unstructured_SNA_ModelSheetCurrencyHardcoded">Model!$889:$889</definedName>
    <definedName name="z_GMEG0H0133_MO_Unstructured_SNA_MostRecentFiscalPeriodMRFP">Model!$893:$893</definedName>
    <definedName name="z_GMEG0H0133_MO_Unstructured_SNA_MostRecentFX">Model!$890:$890</definedName>
    <definedName name="z_GMEG0H0133_MO_Unstructured_SNA_MostRecentFXHardcoded">Model!$891:$891</definedName>
    <definedName name="z_GMEG0H0133_MO_Unstructured_SNA_MRFPColumnNumber">Model!$892:$892</definedName>
    <definedName name="z_GMEG0H0133_MO_Unstructured_SNA_NASDAQTSLA">Model!$820:$820</definedName>
    <definedName name="z_GMEG0H0133_MO_Unstructured_SNA_NetRevenue">Model!$830:$830</definedName>
    <definedName name="z_GMEG0H0133_MO_Unstructured_SNA_PEAvg">Model!$835:$835</definedName>
    <definedName name="z_GMEG0H0133_MO_Unstructured_SNA_Period">Model!$840:$840</definedName>
    <definedName name="z_GMEG0H0133_MO_Unstructured_SNA_RealTimeOffSource">Model!$854:$854</definedName>
    <definedName name="z_GMEG0H0133_MO_Unstructured_SNA_RealTimeOffSource_1">Model!$861:$861</definedName>
    <definedName name="z_GMEG0H0133_MO_Unstructured_SNA_RealTimeOffSource_2">Model!$868:$868</definedName>
    <definedName name="z_GMEG0H0133_MO_Unstructured_SNA_RealTimeOffSource_3">Model!$875:$875</definedName>
    <definedName name="z_GMEG0H0133_MO_Unstructured_SNA_RealTimeStockPrice">Model!$885:$885</definedName>
    <definedName name="z_GMEG0H0133_MO_Unstructured_SNA_Refinitiv">Model!$858:$858</definedName>
    <definedName name="z_GMEG0H0133_MO_Unstructured_SNA_Refinitiv_1">Model!$865:$865</definedName>
    <definedName name="z_GMEG0H0133_MO_Unstructured_SNA_Refinitiv_2">Model!$872:$872</definedName>
    <definedName name="z_GMEG0H0133_MO_Unstructured_SNA_Refinitiv_3">Model!$879:$879</definedName>
    <definedName name="z_GMEG0H0133_MO_Unstructured_SNA_StockAverageRealTimeOffSource">Model!$867:$867</definedName>
    <definedName name="z_GMEG0H0133_MO_Unstructured_SNA_StockHighRealTimeOffSource">Model!$853:$853</definedName>
    <definedName name="z_GMEG0H0133_MO_Unstructured_SNA_StockLowRealTimeOffSource">Model!$860:$860</definedName>
    <definedName name="z_GMEG0H0133_MO_Unstructured_SNA_StockPriceTable">Model!$850:$850</definedName>
    <definedName name="z_GMEG0H0133_MO_Unstructured_SNA_TickerSymbol">Model!$818:$818</definedName>
    <definedName name="z_GMEG0H0133_MO_Unstructured_SNA_TradeCurrency">Model!$887:$887</definedName>
    <definedName name="z_GMEG0H0133_MO_Unstructured_SNA_TradeCurrencyHardcoded">Model!$888:$888</definedName>
    <definedName name="z_GMEG0H0133_MO_Unstructured_SNA_TSLAOQ">Model!$822:$822</definedName>
    <definedName name="z_GMEG0H0133_MO_Unstructured_SNA_TSLAUS">Model!$819:$819</definedName>
    <definedName name="z_GMEG0H0133_MO_Unstructured_SNA_TSLAUS_1">Model!$821:$821</definedName>
    <definedName name="z_GMEG0H0133_MO_Unstructured_SNA_ValuationToggleTable">Model!$824:$824</definedName>
    <definedName name="z_GMEG0H0133_MO_VA_EnterpriseValueAverage">Model!$472:$472</definedName>
    <definedName name="z_GMEG0H0133_MO_VA_enterprisevaluecomponents">Model!$487:$487</definedName>
    <definedName name="z_GMEG0H0133_MO_VA_EVEBITDAAverage">Model!$476:$476</definedName>
    <definedName name="z_GMEG0H0133_MO_VA_FCFYieldtoAverageEnterpriseValue">Model!$479:$479</definedName>
    <definedName name="z_GMEG0H0133_MO_VA_FCFYieldtoAverageMarketCap">Model!$478:$478</definedName>
    <definedName name="z_GMEG0H0133_MO_VA_MarketCapAverage">Model!$471:$471</definedName>
    <definedName name="z_GMEG0H0133_MO_VA_NoncontrollingInterest">Model!$488:$488</definedName>
    <definedName name="z_GMEG0H0133_MO_VA_OtherEVComponents">Model!$490:$490</definedName>
    <definedName name="z_GMEG0H0133_MO_VA_PCFAverage">Model!$477:$477</definedName>
    <definedName name="z_GMEG0H0133_MO_VA_PEAverage">Model!$474:$474</definedName>
    <definedName name="z_GMEG0H0133_MO_VA_PreferredShares">Model!$489:$489</definedName>
    <definedName name="z_GMEG0H0133_MO_VA_StockAvg">Model!$483:$483</definedName>
    <definedName name="z_GMEG0H0133_MO_VA_StockHigh">Model!$481:$481</definedName>
    <definedName name="z_GMEG0H0133_MO_VA_StockLow">Model!$482:$482</definedName>
    <definedName name="z_GMEG0H0133_MO_VA_StockPriceAverage">Model!$470:$470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6" i="1" l="1"/>
  <c r="H8" i="4"/>
  <c r="H7" i="4"/>
  <c r="F7" i="4"/>
  <c r="A123" i="5"/>
  <c r="A122" i="5"/>
  <c r="A121" i="5"/>
  <c r="A120" i="5"/>
  <c r="A119" i="5"/>
  <c r="A118" i="5"/>
  <c r="I107" i="5"/>
  <c r="H107" i="5"/>
  <c r="G107" i="5"/>
  <c r="I101" i="5"/>
  <c r="H101" i="5"/>
  <c r="G101" i="5"/>
  <c r="G96" i="5"/>
  <c r="Z91" i="5"/>
  <c r="BG77" i="5"/>
  <c r="BF77" i="5"/>
  <c r="BE77" i="5"/>
  <c r="BC77" i="5"/>
  <c r="BB77" i="5"/>
  <c r="BA77" i="5"/>
  <c r="AZ77" i="5"/>
  <c r="AX77" i="5"/>
  <c r="AW77" i="5"/>
  <c r="AV77" i="5"/>
  <c r="AU77" i="5"/>
  <c r="AS77" i="5"/>
  <c r="AR77" i="5"/>
  <c r="AQ77" i="5"/>
  <c r="AP77" i="5"/>
  <c r="AN77" i="5"/>
  <c r="AM77" i="5"/>
  <c r="AL77" i="5"/>
  <c r="AK77" i="5"/>
  <c r="AI77" i="5"/>
  <c r="AH77" i="5"/>
  <c r="AG77" i="5"/>
  <c r="AF77" i="5"/>
  <c r="AD77" i="5"/>
  <c r="AC77" i="5"/>
  <c r="AB77" i="5"/>
  <c r="AA77" i="5"/>
  <c r="Y77" i="5"/>
  <c r="X77" i="5"/>
  <c r="W77" i="5"/>
  <c r="V77" i="5"/>
  <c r="T77" i="5"/>
  <c r="S77" i="5"/>
  <c r="R77" i="5"/>
  <c r="Q77" i="5"/>
  <c r="O77" i="5"/>
  <c r="N77" i="5"/>
  <c r="M77" i="5"/>
  <c r="L77" i="5"/>
  <c r="J77" i="5"/>
  <c r="I77" i="5"/>
  <c r="H77" i="5"/>
  <c r="G77" i="5"/>
  <c r="F77" i="5"/>
  <c r="E77" i="5"/>
  <c r="D77" i="5"/>
  <c r="C77" i="5"/>
  <c r="BG72" i="5"/>
  <c r="BF72" i="5"/>
  <c r="BE72" i="5"/>
  <c r="BC72" i="5"/>
  <c r="BB72" i="5"/>
  <c r="BA72" i="5"/>
  <c r="AZ72" i="5"/>
  <c r="AX72" i="5"/>
  <c r="BG71" i="5"/>
  <c r="BF71" i="5"/>
  <c r="BE71" i="5"/>
  <c r="BC71" i="5"/>
  <c r="BB71" i="5"/>
  <c r="BA71" i="5"/>
  <c r="AZ71" i="5"/>
  <c r="AX71" i="5"/>
  <c r="BG70" i="5"/>
  <c r="BF70" i="5"/>
  <c r="BE70" i="5"/>
  <c r="BC70" i="5"/>
  <c r="BB70" i="5"/>
  <c r="BA70" i="5"/>
  <c r="AZ70" i="5"/>
  <c r="AX70" i="5"/>
  <c r="BG68" i="5"/>
  <c r="BF68" i="5"/>
  <c r="BE68" i="5"/>
  <c r="BC68" i="5"/>
  <c r="BB68" i="5"/>
  <c r="BA68" i="5"/>
  <c r="AZ68" i="5"/>
  <c r="AX68" i="5"/>
  <c r="A68" i="5"/>
  <c r="BG67" i="5"/>
  <c r="BF67" i="5"/>
  <c r="BE67" i="5"/>
  <c r="BC67" i="5"/>
  <c r="BB67" i="5"/>
  <c r="BA67" i="5"/>
  <c r="AZ67" i="5"/>
  <c r="AX67" i="5"/>
  <c r="A67" i="5"/>
  <c r="A65" i="5"/>
  <c r="BG63" i="5"/>
  <c r="BF63" i="5"/>
  <c r="BE63" i="5"/>
  <c r="BC63" i="5"/>
  <c r="BB63" i="5"/>
  <c r="BA63" i="5"/>
  <c r="AZ63" i="5"/>
  <c r="AX63" i="5"/>
  <c r="A63" i="5"/>
  <c r="A62" i="5"/>
  <c r="A58" i="5"/>
  <c r="A56" i="5"/>
  <c r="A55" i="5"/>
  <c r="A54" i="5"/>
  <c r="A53" i="5"/>
  <c r="A50" i="5"/>
  <c r="A49" i="5"/>
  <c r="A43" i="5"/>
  <c r="BG42" i="5"/>
  <c r="BF42" i="5"/>
  <c r="BE42" i="5"/>
  <c r="BC42" i="5"/>
  <c r="BB42" i="5"/>
  <c r="BA42" i="5"/>
  <c r="AZ42" i="5"/>
  <c r="AX42" i="5"/>
  <c r="AI42" i="5"/>
  <c r="AH42" i="5"/>
  <c r="AG42" i="5"/>
  <c r="AF42" i="5"/>
  <c r="AE42" i="5"/>
  <c r="AD42" i="5"/>
  <c r="AC42" i="5"/>
  <c r="AB42" i="5"/>
  <c r="AA42" i="5"/>
  <c r="Z42" i="5"/>
  <c r="Y42" i="5"/>
  <c r="X42" i="5"/>
  <c r="W42" i="5"/>
  <c r="V42" i="5"/>
  <c r="U42" i="5"/>
  <c r="T42" i="5"/>
  <c r="S42" i="5"/>
  <c r="R42" i="5"/>
  <c r="Q42" i="5"/>
  <c r="P42" i="5"/>
  <c r="O42" i="5"/>
  <c r="N42" i="5"/>
  <c r="M42" i="5"/>
  <c r="L42" i="5"/>
  <c r="K42" i="5"/>
  <c r="J42" i="5"/>
  <c r="I42" i="5"/>
  <c r="H42" i="5"/>
  <c r="G42" i="5"/>
  <c r="F42" i="5"/>
  <c r="E42" i="5"/>
  <c r="D42" i="5"/>
  <c r="C42" i="5"/>
  <c r="A42" i="5"/>
  <c r="BG41" i="5"/>
  <c r="BF41" i="5"/>
  <c r="BE41" i="5"/>
  <c r="BC41" i="5"/>
  <c r="BB41" i="5"/>
  <c r="BA41" i="5"/>
  <c r="AZ41" i="5"/>
  <c r="AX41" i="5"/>
  <c r="A41" i="5"/>
  <c r="BG40" i="5"/>
  <c r="BF40" i="5"/>
  <c r="BE40" i="5"/>
  <c r="BC40" i="5"/>
  <c r="BB40" i="5"/>
  <c r="BA40" i="5"/>
  <c r="AZ40" i="5"/>
  <c r="AX40" i="5"/>
  <c r="AW40" i="5"/>
  <c r="AV40" i="5"/>
  <c r="AU40" i="5"/>
  <c r="AT40" i="5"/>
  <c r="AS40" i="5"/>
  <c r="AR40" i="5"/>
  <c r="AQ40" i="5"/>
  <c r="AP40" i="5"/>
  <c r="AO40" i="5"/>
  <c r="AN40" i="5"/>
  <c r="AM40" i="5"/>
  <c r="AL40" i="5"/>
  <c r="AK40" i="5"/>
  <c r="AJ40" i="5"/>
  <c r="AI40" i="5"/>
  <c r="AH40" i="5"/>
  <c r="AG40" i="5"/>
  <c r="AF40" i="5"/>
  <c r="AE40" i="5"/>
  <c r="AD40" i="5"/>
  <c r="AC40" i="5"/>
  <c r="AB40" i="5"/>
  <c r="AA40" i="5"/>
  <c r="Z40" i="5"/>
  <c r="Y40" i="5"/>
  <c r="X40" i="5"/>
  <c r="W40" i="5"/>
  <c r="V40" i="5"/>
  <c r="U40" i="5"/>
  <c r="T40" i="5"/>
  <c r="S40" i="5"/>
  <c r="R40" i="5"/>
  <c r="Q40" i="5"/>
  <c r="P40" i="5"/>
  <c r="O40" i="5"/>
  <c r="N40" i="5"/>
  <c r="M40" i="5"/>
  <c r="L40" i="5"/>
  <c r="K40" i="5"/>
  <c r="J40" i="5"/>
  <c r="I40" i="5"/>
  <c r="H40" i="5"/>
  <c r="G40" i="5"/>
  <c r="F40" i="5"/>
  <c r="E40" i="5"/>
  <c r="D40" i="5"/>
  <c r="C40" i="5"/>
  <c r="A40" i="5"/>
  <c r="A38" i="5"/>
  <c r="BG37" i="5"/>
  <c r="BF37" i="5"/>
  <c r="BE37" i="5"/>
  <c r="BC37" i="5"/>
  <c r="BB37" i="5"/>
  <c r="BA37" i="5"/>
  <c r="AZ37" i="5"/>
  <c r="AX37" i="5"/>
  <c r="A36" i="5"/>
  <c r="A35" i="5"/>
  <c r="A34" i="5"/>
  <c r="A33" i="5"/>
  <c r="A32" i="5"/>
  <c r="A31" i="5"/>
  <c r="A30" i="5"/>
  <c r="D27" i="5"/>
  <c r="C27" i="5"/>
  <c r="A27" i="5"/>
  <c r="C26" i="5"/>
  <c r="A26" i="5"/>
  <c r="E25" i="5"/>
  <c r="D25" i="5"/>
  <c r="C25" i="5"/>
  <c r="A25" i="5"/>
  <c r="A23" i="5"/>
  <c r="X22" i="5"/>
  <c r="W22" i="5"/>
  <c r="V22" i="5"/>
  <c r="U22" i="5"/>
  <c r="T22" i="5"/>
  <c r="S22" i="5"/>
  <c r="R22" i="5"/>
  <c r="Q22" i="5"/>
  <c r="P22" i="5"/>
  <c r="O22" i="5"/>
  <c r="N22" i="5"/>
  <c r="M22" i="5"/>
  <c r="L22" i="5"/>
  <c r="K22" i="5"/>
  <c r="J22" i="5"/>
  <c r="I22" i="5"/>
  <c r="H22" i="5"/>
  <c r="G22" i="5"/>
  <c r="F22" i="5"/>
  <c r="E22" i="5"/>
  <c r="D22" i="5"/>
  <c r="C22" i="5"/>
  <c r="A22" i="5"/>
  <c r="C21" i="5"/>
  <c r="A21" i="5"/>
  <c r="W20" i="5"/>
  <c r="V20" i="5"/>
  <c r="U20" i="5"/>
  <c r="T20" i="5"/>
  <c r="S20" i="5"/>
  <c r="R20" i="5"/>
  <c r="Q20" i="5"/>
  <c r="P20" i="5"/>
  <c r="O20" i="5"/>
  <c r="N20" i="5"/>
  <c r="M20" i="5"/>
  <c r="L20" i="5"/>
  <c r="K20" i="5"/>
  <c r="J20" i="5"/>
  <c r="I20" i="5"/>
  <c r="H20" i="5"/>
  <c r="G20" i="5"/>
  <c r="F20" i="5"/>
  <c r="E20" i="5"/>
  <c r="D20" i="5"/>
  <c r="C20" i="5"/>
  <c r="A20" i="5"/>
  <c r="A19" i="5"/>
  <c r="J17" i="5"/>
  <c r="I17" i="5"/>
  <c r="H17" i="5"/>
  <c r="G17" i="5"/>
  <c r="A17" i="5"/>
  <c r="AC16" i="5"/>
  <c r="AB16" i="5"/>
  <c r="AA16" i="5"/>
  <c r="Z16" i="5"/>
  <c r="Y16" i="5"/>
  <c r="X16" i="5"/>
  <c r="W16" i="5"/>
  <c r="V16" i="5"/>
  <c r="U16" i="5"/>
  <c r="T16" i="5"/>
  <c r="S16" i="5"/>
  <c r="R16" i="5"/>
  <c r="Q16" i="5"/>
  <c r="P16" i="5"/>
  <c r="O16" i="5"/>
  <c r="N16" i="5"/>
  <c r="M16" i="5"/>
  <c r="L16" i="5"/>
  <c r="K16" i="5"/>
  <c r="J16" i="5"/>
  <c r="I16" i="5"/>
  <c r="H16" i="5"/>
  <c r="G16" i="5"/>
  <c r="F16" i="5"/>
  <c r="E16" i="5"/>
  <c r="D16" i="5"/>
  <c r="A16" i="5"/>
  <c r="J15" i="5"/>
  <c r="I15" i="5"/>
  <c r="H15" i="5"/>
  <c r="G15" i="5"/>
  <c r="D15" i="5"/>
  <c r="A15" i="5"/>
  <c r="AB14" i="5"/>
  <c r="AA14" i="5"/>
  <c r="Z14" i="5"/>
  <c r="Y14" i="5"/>
  <c r="X14" i="5"/>
  <c r="W14" i="5"/>
  <c r="V14" i="5"/>
  <c r="U14" i="5"/>
  <c r="T14" i="5"/>
  <c r="S14" i="5"/>
  <c r="R14" i="5"/>
  <c r="Q14" i="5"/>
  <c r="P14" i="5"/>
  <c r="O14" i="5"/>
  <c r="N14" i="5"/>
  <c r="M14" i="5"/>
  <c r="L14" i="5"/>
  <c r="K14" i="5"/>
  <c r="J14" i="5"/>
  <c r="I14" i="5"/>
  <c r="H14" i="5"/>
  <c r="G14" i="5"/>
  <c r="F14" i="5"/>
  <c r="E14" i="5"/>
  <c r="D14" i="5"/>
  <c r="A14" i="5"/>
  <c r="J13" i="5"/>
  <c r="I13" i="5"/>
  <c r="H13" i="5"/>
  <c r="G13" i="5"/>
  <c r="A13" i="5"/>
  <c r="A10" i="5"/>
  <c r="A8" i="5"/>
  <c r="A7" i="5"/>
  <c r="A6" i="5"/>
  <c r="Y5" i="5"/>
  <c r="X5" i="5"/>
  <c r="P5" i="5"/>
  <c r="N5" i="5"/>
  <c r="M5" i="5"/>
  <c r="L5" i="5"/>
  <c r="K5" i="5"/>
  <c r="J5" i="5"/>
  <c r="I5" i="5"/>
  <c r="H5" i="5"/>
  <c r="A5" i="5"/>
  <c r="A4" i="5"/>
  <c r="C2" i="5"/>
  <c r="C1" i="5"/>
  <c r="A1" i="5"/>
  <c r="J110" i="6"/>
  <c r="J108" i="6"/>
  <c r="J107" i="6"/>
  <c r="J105" i="6"/>
  <c r="P104" i="6"/>
  <c r="O104" i="6"/>
  <c r="J104" i="6"/>
  <c r="J102" i="6"/>
  <c r="J100" i="6"/>
  <c r="P99" i="6"/>
  <c r="O99" i="6"/>
  <c r="J99" i="6"/>
  <c r="J97" i="6"/>
  <c r="J96" i="6"/>
  <c r="J95" i="6"/>
  <c r="J94" i="6"/>
  <c r="J92" i="6"/>
  <c r="J90" i="6"/>
  <c r="P89" i="6"/>
  <c r="O89" i="6"/>
  <c r="J89" i="6"/>
  <c r="J87" i="6"/>
  <c r="P86" i="6"/>
  <c r="O86" i="6"/>
  <c r="J86" i="6"/>
  <c r="J84" i="6"/>
  <c r="J82" i="6"/>
  <c r="J81" i="6"/>
  <c r="J79" i="6"/>
  <c r="J77" i="6"/>
  <c r="J76" i="6"/>
  <c r="J75" i="6"/>
  <c r="J73" i="6"/>
  <c r="J71" i="6"/>
  <c r="J70" i="6"/>
  <c r="J69" i="6"/>
  <c r="J67" i="6"/>
  <c r="J66" i="6"/>
  <c r="J64" i="6"/>
  <c r="J62" i="6"/>
  <c r="J60" i="6"/>
  <c r="J58" i="6"/>
  <c r="J56" i="6"/>
  <c r="J54" i="6"/>
  <c r="J52" i="6"/>
  <c r="J50" i="6"/>
  <c r="J48" i="6"/>
  <c r="J46" i="6"/>
  <c r="J44" i="6"/>
  <c r="J42" i="6"/>
  <c r="J40" i="6"/>
  <c r="J38" i="6"/>
  <c r="J36" i="6"/>
  <c r="J34" i="6"/>
  <c r="J32" i="6"/>
  <c r="J30" i="6"/>
  <c r="J28" i="6"/>
  <c r="J26" i="6"/>
  <c r="J24" i="6"/>
  <c r="J22" i="6"/>
  <c r="J20" i="6"/>
  <c r="J18" i="6"/>
  <c r="J16" i="6"/>
  <c r="J14" i="6"/>
  <c r="J12" i="6"/>
  <c r="J10" i="6"/>
  <c r="J8" i="6"/>
  <c r="J6" i="6"/>
  <c r="F2" i="6"/>
  <c r="B1" i="6"/>
  <c r="M106" i="7"/>
  <c r="L106" i="7"/>
  <c r="K106" i="7"/>
  <c r="I106" i="7"/>
  <c r="H106" i="7"/>
  <c r="G106" i="7"/>
  <c r="F106" i="7"/>
  <c r="E106" i="7"/>
  <c r="D106" i="7"/>
  <c r="C106" i="7"/>
  <c r="J105" i="7"/>
  <c r="J104" i="7"/>
  <c r="J103" i="7"/>
  <c r="J106" i="7" s="1"/>
  <c r="X98" i="7"/>
  <c r="W98" i="7"/>
  <c r="V98" i="7"/>
  <c r="T98" i="7"/>
  <c r="S98" i="7"/>
  <c r="R98" i="7"/>
  <c r="Q98" i="7"/>
  <c r="X94" i="7"/>
  <c r="W94" i="7"/>
  <c r="V94" i="7"/>
  <c r="T94" i="7"/>
  <c r="S94" i="7"/>
  <c r="R94" i="7"/>
  <c r="Q94" i="7"/>
  <c r="U89" i="7"/>
  <c r="P89" i="7"/>
  <c r="J89" i="7"/>
  <c r="U88" i="7"/>
  <c r="P88" i="7"/>
  <c r="U87" i="7"/>
  <c r="P87" i="7"/>
  <c r="U86" i="7"/>
  <c r="P86" i="7"/>
  <c r="J86" i="7"/>
  <c r="T84" i="7"/>
  <c r="O84" i="7"/>
  <c r="J84" i="7"/>
  <c r="T83" i="7"/>
  <c r="O83" i="7"/>
  <c r="J83" i="7"/>
  <c r="T82" i="7"/>
  <c r="O82" i="7"/>
  <c r="J82" i="7"/>
  <c r="V78" i="7"/>
  <c r="U78" i="7"/>
  <c r="S78" i="7"/>
  <c r="P78" i="7"/>
  <c r="O78" i="7"/>
  <c r="M78" i="7"/>
  <c r="J78" i="7"/>
  <c r="I78" i="7"/>
  <c r="G78" i="7"/>
  <c r="T77" i="7"/>
  <c r="T76" i="7" s="1"/>
  <c r="O77" i="7"/>
  <c r="J77" i="7"/>
  <c r="V76" i="7"/>
  <c r="U76" i="7"/>
  <c r="S76" i="7"/>
  <c r="R76" i="7"/>
  <c r="P76" i="7"/>
  <c r="O76" i="7"/>
  <c r="M76" i="7"/>
  <c r="J76" i="7"/>
  <c r="I76" i="7"/>
  <c r="G76" i="7"/>
  <c r="F76" i="7"/>
  <c r="Z75" i="7"/>
  <c r="Y75" i="7"/>
  <c r="Y77" i="7" s="1"/>
  <c r="Y78" i="7" s="1"/>
  <c r="X75" i="7"/>
  <c r="X78" i="7" s="1"/>
  <c r="W75" i="7"/>
  <c r="W76" i="7" s="1"/>
  <c r="V75" i="7"/>
  <c r="U75" i="7"/>
  <c r="T75" i="7"/>
  <c r="T78" i="7" s="1"/>
  <c r="S75" i="7"/>
  <c r="R75" i="7"/>
  <c r="R78" i="7" s="1"/>
  <c r="Q75" i="7"/>
  <c r="Q78" i="7" s="1"/>
  <c r="P75" i="7"/>
  <c r="O75" i="7"/>
  <c r="N75" i="7"/>
  <c r="N78" i="7" s="1"/>
  <c r="M75" i="7"/>
  <c r="L75" i="7"/>
  <c r="L78" i="7" s="1"/>
  <c r="K75" i="7"/>
  <c r="K76" i="7" s="1"/>
  <c r="J75" i="7"/>
  <c r="I75" i="7"/>
  <c r="H75" i="7"/>
  <c r="H78" i="7" s="1"/>
  <c r="G75" i="7"/>
  <c r="F75" i="7"/>
  <c r="F78" i="7" s="1"/>
  <c r="E75" i="7"/>
  <c r="E78" i="7" s="1"/>
  <c r="X71" i="7"/>
  <c r="W71" i="7"/>
  <c r="V71" i="7"/>
  <c r="U71" i="7"/>
  <c r="T71" i="7"/>
  <c r="S71" i="7"/>
  <c r="R71" i="7"/>
  <c r="X70" i="7"/>
  <c r="W70" i="7"/>
  <c r="V70" i="7"/>
  <c r="U70" i="7"/>
  <c r="T70" i="7"/>
  <c r="S70" i="7"/>
  <c r="R70" i="7"/>
  <c r="Q70" i="7"/>
  <c r="P70" i="7"/>
  <c r="O70" i="7"/>
  <c r="N70" i="7"/>
  <c r="M70" i="7"/>
  <c r="AE65" i="7"/>
  <c r="AC65" i="7"/>
  <c r="AB65" i="7"/>
  <c r="AA65" i="7"/>
  <c r="Z65" i="7"/>
  <c r="X65" i="7"/>
  <c r="Y59" i="7" s="1"/>
  <c r="Y65" i="7" s="1"/>
  <c r="W65" i="7"/>
  <c r="V65" i="7"/>
  <c r="U65" i="7"/>
  <c r="S65" i="7"/>
  <c r="R65" i="7"/>
  <c r="Q65" i="7"/>
  <c r="P65" i="7"/>
  <c r="L65" i="7"/>
  <c r="K65" i="7"/>
  <c r="AD64" i="7"/>
  <c r="Y64" i="7"/>
  <c r="T64" i="7"/>
  <c r="O64" i="7"/>
  <c r="AD63" i="7"/>
  <c r="Y63" i="7"/>
  <c r="T63" i="7"/>
  <c r="O63" i="7"/>
  <c r="AD62" i="7"/>
  <c r="Y62" i="7"/>
  <c r="T62" i="7"/>
  <c r="O62" i="7"/>
  <c r="AD61" i="7"/>
  <c r="Y61" i="7"/>
  <c r="T61" i="7"/>
  <c r="O61" i="7"/>
  <c r="AD60" i="7"/>
  <c r="AD65" i="7" s="1"/>
  <c r="Y60" i="7"/>
  <c r="T60" i="7"/>
  <c r="O60" i="7"/>
  <c r="AD59" i="7"/>
  <c r="T59" i="7"/>
  <c r="T65" i="7" s="1"/>
  <c r="M59" i="7"/>
  <c r="M65" i="7" s="1"/>
  <c r="N59" i="7" s="1"/>
  <c r="N65" i="7" s="1"/>
  <c r="O59" i="7" s="1"/>
  <c r="O65" i="7" s="1"/>
  <c r="L59" i="7"/>
  <c r="AE57" i="7"/>
  <c r="AC57" i="7"/>
  <c r="AB57" i="7"/>
  <c r="AA57" i="7"/>
  <c r="Z57" i="7"/>
  <c r="X57" i="7"/>
  <c r="Y52" i="7" s="1"/>
  <c r="Y57" i="7" s="1"/>
  <c r="W57" i="7"/>
  <c r="V57" i="7"/>
  <c r="U57" i="7"/>
  <c r="S57" i="7"/>
  <c r="R57" i="7"/>
  <c r="Q57" i="7"/>
  <c r="P57" i="7"/>
  <c r="K57" i="7"/>
  <c r="AD56" i="7"/>
  <c r="Y56" i="7"/>
  <c r="T56" i="7"/>
  <c r="O56" i="7"/>
  <c r="AD55" i="7"/>
  <c r="Y55" i="7"/>
  <c r="T55" i="7"/>
  <c r="O55" i="7"/>
  <c r="AD54" i="7"/>
  <c r="Y54" i="7"/>
  <c r="T54" i="7"/>
  <c r="O54" i="7"/>
  <c r="AD53" i="7"/>
  <c r="Y53" i="7"/>
  <c r="T53" i="7"/>
  <c r="O53" i="7"/>
  <c r="AD52" i="7"/>
  <c r="AD57" i="7" s="1"/>
  <c r="T52" i="7"/>
  <c r="T57" i="7" s="1"/>
  <c r="L52" i="7"/>
  <c r="L57" i="7" s="1"/>
  <c r="M52" i="7" s="1"/>
  <c r="M57" i="7" s="1"/>
  <c r="N52" i="7" s="1"/>
  <c r="N57" i="7" s="1"/>
  <c r="O52" i="7" s="1"/>
  <c r="O57" i="7" s="1"/>
  <c r="AD48" i="7"/>
  <c r="Y48" i="7"/>
  <c r="T48" i="7"/>
  <c r="O48" i="7"/>
  <c r="AE47" i="7"/>
  <c r="AC47" i="7"/>
  <c r="AC49" i="7" s="1"/>
  <c r="AB47" i="7"/>
  <c r="AA47" i="7"/>
  <c r="Z47" i="7"/>
  <c r="X47" i="7"/>
  <c r="W47" i="7"/>
  <c r="V47" i="7"/>
  <c r="U47" i="7"/>
  <c r="S47" i="7"/>
  <c r="R47" i="7"/>
  <c r="Q47" i="7"/>
  <c r="P47" i="7"/>
  <c r="N47" i="7"/>
  <c r="M47" i="7"/>
  <c r="L47" i="7"/>
  <c r="K47" i="7"/>
  <c r="AD46" i="7"/>
  <c r="Y46" i="7"/>
  <c r="T46" i="7"/>
  <c r="T47" i="7" s="1"/>
  <c r="O46" i="7"/>
  <c r="AD45" i="7"/>
  <c r="Y45" i="7"/>
  <c r="T45" i="7"/>
  <c r="O45" i="7"/>
  <c r="O47" i="7" s="1"/>
  <c r="AD44" i="7"/>
  <c r="AD47" i="7" s="1"/>
  <c r="Y44" i="7"/>
  <c r="Y47" i="7" s="1"/>
  <c r="T44" i="7"/>
  <c r="O44" i="7"/>
  <c r="AD43" i="7"/>
  <c r="Y43" i="7"/>
  <c r="T43" i="7"/>
  <c r="O43" i="7"/>
  <c r="K42" i="7"/>
  <c r="K49" i="7" s="1"/>
  <c r="AT36" i="7"/>
  <c r="AL36" i="7"/>
  <c r="AT35" i="7"/>
  <c r="AO35" i="7"/>
  <c r="AO36" i="7" s="1"/>
  <c r="AN35" i="7"/>
  <c r="AM35" i="7"/>
  <c r="AM36" i="7" s="1"/>
  <c r="AL35" i="7"/>
  <c r="AK35" i="7"/>
  <c r="AK36" i="7" s="1"/>
  <c r="AN34" i="7"/>
  <c r="AN33" i="7"/>
  <c r="AN32" i="7"/>
  <c r="AN36" i="7" s="1"/>
  <c r="AW24" i="7"/>
  <c r="AR23" i="7"/>
  <c r="AW22" i="7"/>
  <c r="AW28" i="7" s="1"/>
  <c r="AV22" i="7"/>
  <c r="AV24" i="7" s="1"/>
  <c r="AU22" i="7"/>
  <c r="AU24" i="7" s="1"/>
  <c r="AT22" i="7"/>
  <c r="AT24" i="7" s="1"/>
  <c r="AR22" i="7"/>
  <c r="AR24" i="7" s="1"/>
  <c r="AQ22" i="7"/>
  <c r="AQ23" i="7" s="1"/>
  <c r="AP22" i="7"/>
  <c r="AP23" i="7" s="1"/>
  <c r="AS21" i="7"/>
  <c r="AO21" i="7"/>
  <c r="AM21" i="7"/>
  <c r="AL21" i="7"/>
  <c r="AK21" i="7"/>
  <c r="AJ21" i="7"/>
  <c r="AH21" i="7"/>
  <c r="AG21" i="7"/>
  <c r="AF21" i="7"/>
  <c r="AE21" i="7"/>
  <c r="AC21" i="7"/>
  <c r="AB21" i="7"/>
  <c r="AA21" i="7"/>
  <c r="Z21" i="7"/>
  <c r="X21" i="7"/>
  <c r="W21" i="7"/>
  <c r="V21" i="7"/>
  <c r="U21" i="7"/>
  <c r="P21" i="7"/>
  <c r="K21" i="7"/>
  <c r="AN20" i="7"/>
  <c r="AI20" i="7"/>
  <c r="AD20" i="7"/>
  <c r="Y20" i="7"/>
  <c r="AN19" i="7"/>
  <c r="AI19" i="7"/>
  <c r="AD19" i="7"/>
  <c r="Y19" i="7"/>
  <c r="AN18" i="7"/>
  <c r="AI18" i="7"/>
  <c r="AD18" i="7"/>
  <c r="Y18" i="7"/>
  <c r="Y21" i="7" s="1"/>
  <c r="AS17" i="7"/>
  <c r="AN17" i="7"/>
  <c r="AI17" i="7"/>
  <c r="AD17" i="7"/>
  <c r="Y17" i="7"/>
  <c r="AS16" i="7"/>
  <c r="AS22" i="7" s="1"/>
  <c r="AN16" i="7"/>
  <c r="AI16" i="7"/>
  <c r="AD16" i="7"/>
  <c r="Y16" i="7"/>
  <c r="AO13" i="7"/>
  <c r="AM13" i="7"/>
  <c r="C13" i="7"/>
  <c r="AS12" i="7"/>
  <c r="AN12" i="7"/>
  <c r="AI12" i="7"/>
  <c r="AD12" i="7"/>
  <c r="Y12" i="7"/>
  <c r="T12" i="7"/>
  <c r="O12" i="7"/>
  <c r="J12" i="7"/>
  <c r="AS11" i="7"/>
  <c r="AN11" i="7"/>
  <c r="AI11" i="7"/>
  <c r="AD11" i="7"/>
  <c r="Y11" i="7"/>
  <c r="T11" i="7"/>
  <c r="O11" i="7"/>
  <c r="J11" i="7"/>
  <c r="AS10" i="7"/>
  <c r="AN10" i="7"/>
  <c r="AI10" i="7"/>
  <c r="AD10" i="7"/>
  <c r="Y10" i="7"/>
  <c r="T10" i="7"/>
  <c r="O10" i="7"/>
  <c r="J10" i="7"/>
  <c r="AS9" i="7"/>
  <c r="AN9" i="7"/>
  <c r="AI9" i="7"/>
  <c r="AD9" i="7"/>
  <c r="Y9" i="7"/>
  <c r="T9" i="7"/>
  <c r="O9" i="7"/>
  <c r="J9" i="7"/>
  <c r="AS8" i="7"/>
  <c r="AN8" i="7"/>
  <c r="AI8" i="7"/>
  <c r="AD8" i="7"/>
  <c r="Y8" i="7"/>
  <c r="T8" i="7"/>
  <c r="O8" i="7"/>
  <c r="J8" i="7"/>
  <c r="AT7" i="7"/>
  <c r="AT13" i="7" s="1"/>
  <c r="AU7" i="7" s="1"/>
  <c r="AU13" i="7" s="1"/>
  <c r="AV7" i="7" s="1"/>
  <c r="AV13" i="7" s="1"/>
  <c r="AW7" i="7" s="1"/>
  <c r="AW13" i="7" s="1"/>
  <c r="AP7" i="7"/>
  <c r="AP13" i="7" s="1"/>
  <c r="AQ7" i="7" s="1"/>
  <c r="AQ13" i="7" s="1"/>
  <c r="AR7" i="7" s="1"/>
  <c r="AR13" i="7" s="1"/>
  <c r="AS7" i="7" s="1"/>
  <c r="AS13" i="7" s="1"/>
  <c r="AN7" i="7"/>
  <c r="AN13" i="7" s="1"/>
  <c r="D7" i="7"/>
  <c r="D13" i="7" s="1"/>
  <c r="E7" i="7" s="1"/>
  <c r="E13" i="7" s="1"/>
  <c r="F7" i="7" s="1"/>
  <c r="F13" i="7" s="1"/>
  <c r="C5" i="7"/>
  <c r="BG2" i="7"/>
  <c r="BF2" i="7"/>
  <c r="BE2" i="7"/>
  <c r="BD2" i="7"/>
  <c r="BC2" i="7"/>
  <c r="BB2" i="7"/>
  <c r="BA2" i="7"/>
  <c r="AZ2" i="7"/>
  <c r="AY2" i="7"/>
  <c r="AX2" i="7"/>
  <c r="AW2" i="7"/>
  <c r="AV2" i="7"/>
  <c r="AU2" i="7"/>
  <c r="AT2" i="7"/>
  <c r="AS2" i="7"/>
  <c r="AR2" i="7"/>
  <c r="AQ2" i="7"/>
  <c r="AP2" i="7"/>
  <c r="AO2" i="7"/>
  <c r="AN2" i="7"/>
  <c r="AM2" i="7"/>
  <c r="AL2" i="7"/>
  <c r="AK2" i="7"/>
  <c r="AJ2" i="7"/>
  <c r="AI2" i="7"/>
  <c r="AH2" i="7"/>
  <c r="AG2" i="7"/>
  <c r="AF2" i="7"/>
  <c r="AE2" i="7"/>
  <c r="AD2" i="7"/>
  <c r="AC2" i="7"/>
  <c r="AB2" i="7"/>
  <c r="AA2" i="7"/>
  <c r="Z2" i="7"/>
  <c r="Y2" i="7"/>
  <c r="X2" i="7"/>
  <c r="W2" i="7"/>
  <c r="V2" i="7"/>
  <c r="U2" i="7"/>
  <c r="T2" i="7"/>
  <c r="S2" i="7"/>
  <c r="R2" i="7"/>
  <c r="Q2" i="7"/>
  <c r="P2" i="7"/>
  <c r="O2" i="7"/>
  <c r="N2" i="7"/>
  <c r="M2" i="7"/>
  <c r="L2" i="7"/>
  <c r="K2" i="7"/>
  <c r="J2" i="7"/>
  <c r="I2" i="7"/>
  <c r="H2" i="7"/>
  <c r="G2" i="7"/>
  <c r="F2" i="7"/>
  <c r="E2" i="7"/>
  <c r="D2" i="7"/>
  <c r="A1" i="7"/>
  <c r="B895" i="2"/>
  <c r="B894" i="2"/>
  <c r="B885" i="2"/>
  <c r="B884" i="2"/>
  <c r="B883" i="2"/>
  <c r="BG879" i="2"/>
  <c r="BF879" i="2"/>
  <c r="BE879" i="2"/>
  <c r="BD879" i="2"/>
  <c r="BC879" i="2"/>
  <c r="BB879" i="2"/>
  <c r="BA879" i="2"/>
  <c r="AZ879" i="2"/>
  <c r="AY879" i="2"/>
  <c r="AX879" i="2"/>
  <c r="AW879" i="2"/>
  <c r="AV879" i="2"/>
  <c r="AU879" i="2"/>
  <c r="AT879" i="2"/>
  <c r="AS879" i="2"/>
  <c r="AR879" i="2"/>
  <c r="AQ879" i="2"/>
  <c r="AP879" i="2"/>
  <c r="AO879" i="2"/>
  <c r="AN879" i="2"/>
  <c r="AM879" i="2"/>
  <c r="AL879" i="2"/>
  <c r="AK879" i="2"/>
  <c r="AJ879" i="2"/>
  <c r="AI879" i="2"/>
  <c r="AH879" i="2"/>
  <c r="AG879" i="2"/>
  <c r="AF879" i="2"/>
  <c r="AE879" i="2"/>
  <c r="AD879" i="2"/>
  <c r="AC879" i="2"/>
  <c r="AB879" i="2"/>
  <c r="AA879" i="2"/>
  <c r="Z879" i="2"/>
  <c r="Y879" i="2"/>
  <c r="X879" i="2"/>
  <c r="W879" i="2"/>
  <c r="V879" i="2"/>
  <c r="U879" i="2"/>
  <c r="T879" i="2"/>
  <c r="S879" i="2"/>
  <c r="R879" i="2"/>
  <c r="Q879" i="2"/>
  <c r="P879" i="2"/>
  <c r="O879" i="2"/>
  <c r="N879" i="2"/>
  <c r="M879" i="2"/>
  <c r="L879" i="2"/>
  <c r="K879" i="2"/>
  <c r="J879" i="2"/>
  <c r="I879" i="2"/>
  <c r="H879" i="2"/>
  <c r="G879" i="2"/>
  <c r="F879" i="2"/>
  <c r="E879" i="2"/>
  <c r="D879" i="2"/>
  <c r="C879" i="2"/>
  <c r="BG875" i="2"/>
  <c r="BF875" i="2"/>
  <c r="BE875" i="2"/>
  <c r="BD875" i="2"/>
  <c r="BC875" i="2"/>
  <c r="BB875" i="2"/>
  <c r="BA875" i="2"/>
  <c r="AZ875" i="2"/>
  <c r="AY875" i="2"/>
  <c r="AX875" i="2"/>
  <c r="BG870" i="2"/>
  <c r="BF870" i="2"/>
  <c r="BE870" i="2"/>
  <c r="BD870" i="2"/>
  <c r="BC870" i="2"/>
  <c r="BB870" i="2"/>
  <c r="BA870" i="2"/>
  <c r="AZ870" i="2"/>
  <c r="AY870" i="2"/>
  <c r="AX870" i="2"/>
  <c r="AW870" i="2"/>
  <c r="AV870" i="2"/>
  <c r="AU870" i="2"/>
  <c r="AT870" i="2"/>
  <c r="AS870" i="2"/>
  <c r="AR870" i="2"/>
  <c r="AQ870" i="2"/>
  <c r="AP870" i="2"/>
  <c r="AO870" i="2"/>
  <c r="AN870" i="2"/>
  <c r="AM870" i="2"/>
  <c r="AL870" i="2"/>
  <c r="AK870" i="2"/>
  <c r="AJ870" i="2"/>
  <c r="AI870" i="2"/>
  <c r="AH870" i="2"/>
  <c r="AG870" i="2"/>
  <c r="AF870" i="2"/>
  <c r="AE870" i="2"/>
  <c r="AD870" i="2"/>
  <c r="AC870" i="2"/>
  <c r="AB870" i="2"/>
  <c r="AA870" i="2"/>
  <c r="Z870" i="2"/>
  <c r="Y870" i="2"/>
  <c r="X870" i="2"/>
  <c r="W870" i="2"/>
  <c r="V870" i="2"/>
  <c r="U870" i="2"/>
  <c r="T870" i="2"/>
  <c r="S870" i="2"/>
  <c r="R870" i="2"/>
  <c r="Q870" i="2"/>
  <c r="P870" i="2"/>
  <c r="O870" i="2"/>
  <c r="N870" i="2"/>
  <c r="M870" i="2"/>
  <c r="L870" i="2"/>
  <c r="K870" i="2"/>
  <c r="J870" i="2"/>
  <c r="I870" i="2"/>
  <c r="H870" i="2"/>
  <c r="G870" i="2"/>
  <c r="F870" i="2"/>
  <c r="E870" i="2"/>
  <c r="D870" i="2"/>
  <c r="C870" i="2"/>
  <c r="BG863" i="2"/>
  <c r="BF863" i="2"/>
  <c r="BE863" i="2"/>
  <c r="BD863" i="2"/>
  <c r="BC863" i="2"/>
  <c r="BB863" i="2"/>
  <c r="BA863" i="2"/>
  <c r="AZ863" i="2"/>
  <c r="AY863" i="2"/>
  <c r="AX863" i="2"/>
  <c r="AW863" i="2"/>
  <c r="AV863" i="2"/>
  <c r="AU863" i="2"/>
  <c r="AT863" i="2"/>
  <c r="AS863" i="2"/>
  <c r="AR863" i="2"/>
  <c r="AQ863" i="2"/>
  <c r="AP863" i="2"/>
  <c r="AO863" i="2"/>
  <c r="AN863" i="2"/>
  <c r="AM863" i="2"/>
  <c r="AL863" i="2"/>
  <c r="AK863" i="2"/>
  <c r="AJ863" i="2"/>
  <c r="AI863" i="2"/>
  <c r="AH863" i="2"/>
  <c r="AG863" i="2"/>
  <c r="AF863" i="2"/>
  <c r="AE863" i="2"/>
  <c r="AD863" i="2"/>
  <c r="AC863" i="2"/>
  <c r="AB863" i="2"/>
  <c r="AA863" i="2"/>
  <c r="Z863" i="2"/>
  <c r="Y863" i="2"/>
  <c r="X863" i="2"/>
  <c r="W863" i="2"/>
  <c r="V863" i="2"/>
  <c r="U863" i="2"/>
  <c r="T863" i="2"/>
  <c r="S863" i="2"/>
  <c r="R863" i="2"/>
  <c r="Q863" i="2"/>
  <c r="P863" i="2"/>
  <c r="O863" i="2"/>
  <c r="N863" i="2"/>
  <c r="M863" i="2"/>
  <c r="L863" i="2"/>
  <c r="K863" i="2"/>
  <c r="J863" i="2"/>
  <c r="I863" i="2"/>
  <c r="H863" i="2"/>
  <c r="G863" i="2"/>
  <c r="F863" i="2"/>
  <c r="E863" i="2"/>
  <c r="D863" i="2"/>
  <c r="C863" i="2"/>
  <c r="BG856" i="2"/>
  <c r="BF856" i="2"/>
  <c r="BE856" i="2"/>
  <c r="BD856" i="2"/>
  <c r="BC856" i="2"/>
  <c r="BB856" i="2"/>
  <c r="BA856" i="2"/>
  <c r="AZ856" i="2"/>
  <c r="AY856" i="2"/>
  <c r="AX856" i="2"/>
  <c r="AW856" i="2"/>
  <c r="AV856" i="2"/>
  <c r="AU856" i="2"/>
  <c r="AT856" i="2"/>
  <c r="AS856" i="2"/>
  <c r="AR856" i="2"/>
  <c r="AQ856" i="2"/>
  <c r="AP856" i="2"/>
  <c r="AO856" i="2"/>
  <c r="AN856" i="2"/>
  <c r="AM856" i="2"/>
  <c r="AL856" i="2"/>
  <c r="AK856" i="2"/>
  <c r="AJ856" i="2"/>
  <c r="AI856" i="2"/>
  <c r="AH856" i="2"/>
  <c r="AG856" i="2"/>
  <c r="AF856" i="2"/>
  <c r="AE856" i="2"/>
  <c r="AD856" i="2"/>
  <c r="AC856" i="2"/>
  <c r="AB856" i="2"/>
  <c r="AA856" i="2"/>
  <c r="Z856" i="2"/>
  <c r="Y856" i="2"/>
  <c r="X856" i="2"/>
  <c r="W856" i="2"/>
  <c r="V856" i="2"/>
  <c r="U856" i="2"/>
  <c r="T856" i="2"/>
  <c r="S856" i="2"/>
  <c r="R856" i="2"/>
  <c r="Q856" i="2"/>
  <c r="P856" i="2"/>
  <c r="O856" i="2"/>
  <c r="N856" i="2"/>
  <c r="M856" i="2"/>
  <c r="L856" i="2"/>
  <c r="K856" i="2"/>
  <c r="J856" i="2"/>
  <c r="I856" i="2"/>
  <c r="H856" i="2"/>
  <c r="G856" i="2"/>
  <c r="F856" i="2"/>
  <c r="E856" i="2"/>
  <c r="D856" i="2"/>
  <c r="C856" i="2"/>
  <c r="BG852" i="2"/>
  <c r="BF852" i="2"/>
  <c r="BE852" i="2"/>
  <c r="BD852" i="2"/>
  <c r="BC852" i="2"/>
  <c r="BB852" i="2"/>
  <c r="BA852" i="2"/>
  <c r="AZ852" i="2"/>
  <c r="AY852" i="2"/>
  <c r="AX852" i="2"/>
  <c r="AW852" i="2"/>
  <c r="AV852" i="2"/>
  <c r="AU852" i="2"/>
  <c r="AT852" i="2"/>
  <c r="AS852" i="2"/>
  <c r="AR852" i="2"/>
  <c r="AQ852" i="2"/>
  <c r="AP852" i="2"/>
  <c r="AO852" i="2"/>
  <c r="AN852" i="2"/>
  <c r="AM852" i="2"/>
  <c r="AL852" i="2"/>
  <c r="AK852" i="2"/>
  <c r="AJ852" i="2"/>
  <c r="AI852" i="2"/>
  <c r="AH852" i="2"/>
  <c r="AG852" i="2"/>
  <c r="AF852" i="2"/>
  <c r="AE852" i="2"/>
  <c r="AD852" i="2"/>
  <c r="AC852" i="2"/>
  <c r="AB852" i="2"/>
  <c r="AA852" i="2"/>
  <c r="Z852" i="2"/>
  <c r="Y852" i="2"/>
  <c r="X852" i="2"/>
  <c r="W852" i="2"/>
  <c r="V852" i="2"/>
  <c r="U852" i="2"/>
  <c r="T852" i="2"/>
  <c r="S852" i="2"/>
  <c r="R852" i="2"/>
  <c r="Q852" i="2"/>
  <c r="P852" i="2"/>
  <c r="O852" i="2"/>
  <c r="N852" i="2"/>
  <c r="M852" i="2"/>
  <c r="L852" i="2"/>
  <c r="K852" i="2"/>
  <c r="J852" i="2"/>
  <c r="I852" i="2"/>
  <c r="H852" i="2"/>
  <c r="G852" i="2"/>
  <c r="F852" i="2"/>
  <c r="E852" i="2"/>
  <c r="D852" i="2"/>
  <c r="C852" i="2"/>
  <c r="A844" i="2"/>
  <c r="A841" i="2"/>
  <c r="A833" i="2"/>
  <c r="A830" i="2"/>
  <c r="BD806" i="2"/>
  <c r="AY806" i="2"/>
  <c r="BG805" i="2"/>
  <c r="BF805" i="2"/>
  <c r="BE805" i="2"/>
  <c r="BD805" i="2"/>
  <c r="BC805" i="2"/>
  <c r="BB805" i="2"/>
  <c r="BA805" i="2"/>
  <c r="AZ805" i="2"/>
  <c r="AY805" i="2"/>
  <c r="AX805" i="2"/>
  <c r="BG803" i="2"/>
  <c r="BF803" i="2"/>
  <c r="BE803" i="2"/>
  <c r="BD803" i="2"/>
  <c r="BC803" i="2"/>
  <c r="BB803" i="2"/>
  <c r="BA803" i="2"/>
  <c r="AZ803" i="2"/>
  <c r="AY803" i="2"/>
  <c r="AX803" i="2"/>
  <c r="BG798" i="2"/>
  <c r="BF798" i="2"/>
  <c r="BE798" i="2"/>
  <c r="BD798" i="2"/>
  <c r="BC798" i="2"/>
  <c r="BB798" i="2"/>
  <c r="BA798" i="2"/>
  <c r="AZ798" i="2"/>
  <c r="AY798" i="2"/>
  <c r="AX798" i="2"/>
  <c r="BG794" i="2"/>
  <c r="BF794" i="2"/>
  <c r="BE794" i="2"/>
  <c r="BD794" i="2"/>
  <c r="BC794" i="2"/>
  <c r="BB794" i="2"/>
  <c r="BA794" i="2"/>
  <c r="AZ794" i="2"/>
  <c r="AY794" i="2"/>
  <c r="AX794" i="2"/>
  <c r="BG793" i="2"/>
  <c r="BF793" i="2"/>
  <c r="BE793" i="2"/>
  <c r="BD793" i="2"/>
  <c r="BC793" i="2"/>
  <c r="BB793" i="2"/>
  <c r="BA793" i="2"/>
  <c r="AZ793" i="2"/>
  <c r="AY793" i="2"/>
  <c r="AX793" i="2"/>
  <c r="AX787" i="2"/>
  <c r="AY787" i="2" s="1"/>
  <c r="AZ787" i="2" s="1"/>
  <c r="BA787" i="2" s="1"/>
  <c r="BB787" i="2" s="1"/>
  <c r="BC787" i="2" s="1"/>
  <c r="BD787" i="2" s="1"/>
  <c r="BE787" i="2" s="1"/>
  <c r="BF787" i="2" s="1"/>
  <c r="BG787" i="2" s="1"/>
  <c r="AS787" i="2"/>
  <c r="AN787" i="2"/>
  <c r="AI787" i="2"/>
  <c r="AD787" i="2"/>
  <c r="Y787" i="2"/>
  <c r="AW786" i="2"/>
  <c r="AW91" i="5" s="1"/>
  <c r="AV786" i="2"/>
  <c r="AV91" i="5" s="1"/>
  <c r="AU786" i="2"/>
  <c r="AU91" i="5" s="1"/>
  <c r="AT786" i="2"/>
  <c r="AT91" i="5" s="1"/>
  <c r="AT92" i="5" s="1"/>
  <c r="AR786" i="2"/>
  <c r="AR91" i="5" s="1"/>
  <c r="AQ786" i="2"/>
  <c r="AQ91" i="5" s="1"/>
  <c r="AP786" i="2"/>
  <c r="AP91" i="5" s="1"/>
  <c r="AO786" i="2"/>
  <c r="AO91" i="5" s="1"/>
  <c r="AM786" i="2"/>
  <c r="AM91" i="5" s="1"/>
  <c r="AL786" i="2"/>
  <c r="AL91" i="5" s="1"/>
  <c r="AK786" i="2"/>
  <c r="AK91" i="5" s="1"/>
  <c r="AJ786" i="2"/>
  <c r="AJ91" i="5" s="1"/>
  <c r="AH786" i="2"/>
  <c r="AH91" i="5" s="1"/>
  <c r="AG786" i="2"/>
  <c r="AG91" i="5" s="1"/>
  <c r="AF786" i="2"/>
  <c r="AF91" i="5" s="1"/>
  <c r="AE786" i="2"/>
  <c r="AE91" i="5" s="1"/>
  <c r="AE92" i="5" s="1"/>
  <c r="AC786" i="2"/>
  <c r="AC91" i="5" s="1"/>
  <c r="AB786" i="2"/>
  <c r="AB91" i="5" s="1"/>
  <c r="AA786" i="2"/>
  <c r="AA91" i="5" s="1"/>
  <c r="Y786" i="2"/>
  <c r="Y91" i="5" s="1"/>
  <c r="X786" i="2"/>
  <c r="X91" i="5" s="1"/>
  <c r="W786" i="2"/>
  <c r="W91" i="5" s="1"/>
  <c r="V786" i="2"/>
  <c r="V91" i="5" s="1"/>
  <c r="U786" i="2"/>
  <c r="U91" i="5" s="1"/>
  <c r="U92" i="5" s="1"/>
  <c r="S786" i="2"/>
  <c r="S91" i="5" s="1"/>
  <c r="R786" i="2"/>
  <c r="R91" i="5" s="1"/>
  <c r="Q786" i="2"/>
  <c r="Q91" i="5" s="1"/>
  <c r="P786" i="2"/>
  <c r="P91" i="5" s="1"/>
  <c r="N786" i="2"/>
  <c r="N91" i="5" s="1"/>
  <c r="M786" i="2"/>
  <c r="M91" i="5" s="1"/>
  <c r="L786" i="2"/>
  <c r="L91" i="5" s="1"/>
  <c r="K786" i="2"/>
  <c r="K91" i="5" s="1"/>
  <c r="I786" i="2"/>
  <c r="I91" i="5" s="1"/>
  <c r="H786" i="2"/>
  <c r="H91" i="5" s="1"/>
  <c r="G786" i="2"/>
  <c r="G91" i="5" s="1"/>
  <c r="F786" i="2"/>
  <c r="F91" i="5" s="1"/>
  <c r="F92" i="5" s="1"/>
  <c r="E786" i="2"/>
  <c r="E91" i="5" s="1"/>
  <c r="E92" i="5" s="1"/>
  <c r="D786" i="2"/>
  <c r="D91" i="5" s="1"/>
  <c r="D92" i="5" s="1"/>
  <c r="C786" i="2"/>
  <c r="C91" i="5" s="1"/>
  <c r="C92" i="5" s="1"/>
  <c r="AS785" i="2"/>
  <c r="AN785" i="2"/>
  <c r="AI785" i="2"/>
  <c r="AD785" i="2"/>
  <c r="Y785" i="2"/>
  <c r="T785" i="2"/>
  <c r="O785" i="2"/>
  <c r="J785" i="2"/>
  <c r="AX784" i="2"/>
  <c r="AY784" i="2" s="1"/>
  <c r="AZ784" i="2" s="1"/>
  <c r="BA784" i="2" s="1"/>
  <c r="BB784" i="2" s="1"/>
  <c r="BC784" i="2" s="1"/>
  <c r="BD784" i="2" s="1"/>
  <c r="BE784" i="2" s="1"/>
  <c r="BF784" i="2" s="1"/>
  <c r="BG784" i="2" s="1"/>
  <c r="AS784" i="2"/>
  <c r="AN784" i="2"/>
  <c r="AI784" i="2"/>
  <c r="AD784" i="2"/>
  <c r="Y784" i="2"/>
  <c r="T784" i="2"/>
  <c r="O784" i="2"/>
  <c r="J784" i="2"/>
  <c r="AS783" i="2"/>
  <c r="AN783" i="2"/>
  <c r="AI783" i="2"/>
  <c r="AD783" i="2"/>
  <c r="Y783" i="2"/>
  <c r="T783" i="2"/>
  <c r="O783" i="2"/>
  <c r="J783" i="2"/>
  <c r="AX782" i="2"/>
  <c r="AY782" i="2" s="1"/>
  <c r="AZ782" i="2" s="1"/>
  <c r="BA782" i="2" s="1"/>
  <c r="BB782" i="2" s="1"/>
  <c r="BC782" i="2" s="1"/>
  <c r="BD782" i="2" s="1"/>
  <c r="BE782" i="2" s="1"/>
  <c r="BF782" i="2" s="1"/>
  <c r="BG782" i="2" s="1"/>
  <c r="AS782" i="2"/>
  <c r="AS786" i="2" s="1"/>
  <c r="AN782" i="2"/>
  <c r="AN786" i="2" s="1"/>
  <c r="AI782" i="2"/>
  <c r="AI786" i="2" s="1"/>
  <c r="AD782" i="2"/>
  <c r="Y782" i="2"/>
  <c r="T782" i="2"/>
  <c r="T786" i="2" s="1"/>
  <c r="O782" i="2"/>
  <c r="O786" i="2" s="1"/>
  <c r="J782" i="2"/>
  <c r="J786" i="2" s="1"/>
  <c r="AW777" i="2"/>
  <c r="AV777" i="2"/>
  <c r="AU777" i="2"/>
  <c r="AT777" i="2"/>
  <c r="AR777" i="2"/>
  <c r="AQ777" i="2"/>
  <c r="AP777" i="2"/>
  <c r="AX776" i="2"/>
  <c r="AY776" i="2" s="1"/>
  <c r="AZ776" i="2" s="1"/>
  <c r="BA776" i="2" s="1"/>
  <c r="BB776" i="2" s="1"/>
  <c r="BC776" i="2" s="1"/>
  <c r="BD776" i="2" s="1"/>
  <c r="BE776" i="2" s="1"/>
  <c r="BF776" i="2" s="1"/>
  <c r="BG776" i="2" s="1"/>
  <c r="AS776" i="2"/>
  <c r="AN776" i="2"/>
  <c r="AI776" i="2"/>
  <c r="AD776" i="2"/>
  <c r="Y776" i="2"/>
  <c r="AS775" i="2"/>
  <c r="AN775" i="2"/>
  <c r="AI775" i="2"/>
  <c r="AD775" i="2"/>
  <c r="Y775" i="2"/>
  <c r="T775" i="2"/>
  <c r="O775" i="2"/>
  <c r="AX774" i="2"/>
  <c r="AY774" i="2" s="1"/>
  <c r="AZ774" i="2" s="1"/>
  <c r="BA774" i="2" s="1"/>
  <c r="BB774" i="2" s="1"/>
  <c r="BC774" i="2" s="1"/>
  <c r="BD774" i="2" s="1"/>
  <c r="BE774" i="2" s="1"/>
  <c r="BF774" i="2" s="1"/>
  <c r="BG774" i="2" s="1"/>
  <c r="AS774" i="2"/>
  <c r="AO774" i="2"/>
  <c r="AO777" i="2" s="1"/>
  <c r="AM774" i="2"/>
  <c r="AM777" i="2" s="1"/>
  <c r="AL774" i="2"/>
  <c r="AL777" i="2" s="1"/>
  <c r="AK774" i="2"/>
  <c r="AK777" i="2" s="1"/>
  <c r="AJ774" i="2"/>
  <c r="AJ777" i="2" s="1"/>
  <c r="AH774" i="2"/>
  <c r="AH777" i="2" s="1"/>
  <c r="AG774" i="2"/>
  <c r="AG777" i="2" s="1"/>
  <c r="AF774" i="2"/>
  <c r="AF777" i="2" s="1"/>
  <c r="AE774" i="2"/>
  <c r="AE777" i="2" s="1"/>
  <c r="AC774" i="2"/>
  <c r="AC777" i="2" s="1"/>
  <c r="AB774" i="2"/>
  <c r="AB777" i="2" s="1"/>
  <c r="AA774" i="2"/>
  <c r="AA777" i="2" s="1"/>
  <c r="Z774" i="2"/>
  <c r="Z777" i="2" s="1"/>
  <c r="Y774" i="2"/>
  <c r="X774" i="2"/>
  <c r="X777" i="2" s="1"/>
  <c r="W774" i="2"/>
  <c r="W777" i="2" s="1"/>
  <c r="V774" i="2"/>
  <c r="V777" i="2" s="1"/>
  <c r="U774" i="2"/>
  <c r="U777" i="2" s="1"/>
  <c r="T774" i="2"/>
  <c r="S774" i="2"/>
  <c r="S777" i="2" s="1"/>
  <c r="R774" i="2"/>
  <c r="R777" i="2" s="1"/>
  <c r="Q774" i="2"/>
  <c r="Q777" i="2" s="1"/>
  <c r="P774" i="2"/>
  <c r="P777" i="2" s="1"/>
  <c r="N774" i="2"/>
  <c r="N777" i="2" s="1"/>
  <c r="M774" i="2"/>
  <c r="M777" i="2" s="1"/>
  <c r="L774" i="2"/>
  <c r="L777" i="2" s="1"/>
  <c r="K774" i="2"/>
  <c r="K777" i="2" s="1"/>
  <c r="I774" i="2"/>
  <c r="I777" i="2" s="1"/>
  <c r="H774" i="2"/>
  <c r="H777" i="2" s="1"/>
  <c r="G774" i="2"/>
  <c r="G777" i="2" s="1"/>
  <c r="F774" i="2"/>
  <c r="F777" i="2" s="1"/>
  <c r="E774" i="2"/>
  <c r="E777" i="2" s="1"/>
  <c r="D774" i="2"/>
  <c r="D777" i="2" s="1"/>
  <c r="C774" i="2"/>
  <c r="C777" i="2" s="1"/>
  <c r="AN773" i="2"/>
  <c r="AI773" i="2"/>
  <c r="AD773" i="2"/>
  <c r="Y773" i="2"/>
  <c r="T773" i="2"/>
  <c r="O773" i="2"/>
  <c r="J773" i="2"/>
  <c r="AN772" i="2"/>
  <c r="AN774" i="2" s="1"/>
  <c r="AI772" i="2"/>
  <c r="AI774" i="2" s="1"/>
  <c r="AD772" i="2"/>
  <c r="AD774" i="2" s="1"/>
  <c r="Y772" i="2"/>
  <c r="T772" i="2"/>
  <c r="O772" i="2"/>
  <c r="O774" i="2" s="1"/>
  <c r="J772" i="2"/>
  <c r="J774" i="2" s="1"/>
  <c r="AS771" i="2"/>
  <c r="AN771" i="2"/>
  <c r="AI771" i="2"/>
  <c r="AD771" i="2"/>
  <c r="Y771" i="2"/>
  <c r="J771" i="2"/>
  <c r="AS770" i="2"/>
  <c r="AN770" i="2"/>
  <c r="AI770" i="2"/>
  <c r="AD770" i="2"/>
  <c r="Y770" i="2"/>
  <c r="T770" i="2"/>
  <c r="O770" i="2"/>
  <c r="J770" i="2"/>
  <c r="AX769" i="2"/>
  <c r="AY769" i="2" s="1"/>
  <c r="AZ769" i="2" s="1"/>
  <c r="BA769" i="2" s="1"/>
  <c r="BB769" i="2" s="1"/>
  <c r="BC769" i="2" s="1"/>
  <c r="BD769" i="2" s="1"/>
  <c r="BE769" i="2" s="1"/>
  <c r="BF769" i="2" s="1"/>
  <c r="BG769" i="2" s="1"/>
  <c r="AS769" i="2"/>
  <c r="AN769" i="2"/>
  <c r="AI769" i="2"/>
  <c r="AD769" i="2"/>
  <c r="Y769" i="2"/>
  <c r="T769" i="2"/>
  <c r="O769" i="2"/>
  <c r="J769" i="2"/>
  <c r="AX768" i="2"/>
  <c r="AY768" i="2" s="1"/>
  <c r="AZ768" i="2" s="1"/>
  <c r="BA768" i="2" s="1"/>
  <c r="BB768" i="2" s="1"/>
  <c r="BC768" i="2" s="1"/>
  <c r="BD768" i="2" s="1"/>
  <c r="BE768" i="2" s="1"/>
  <c r="BF768" i="2" s="1"/>
  <c r="BG768" i="2" s="1"/>
  <c r="AS768" i="2"/>
  <c r="AN768" i="2"/>
  <c r="AI768" i="2"/>
  <c r="AD768" i="2"/>
  <c r="AS767" i="2"/>
  <c r="AN767" i="2"/>
  <c r="AI767" i="2"/>
  <c r="AD767" i="2"/>
  <c r="Y767" i="2"/>
  <c r="T767" i="2"/>
  <c r="O767" i="2"/>
  <c r="J767" i="2"/>
  <c r="AZ766" i="2"/>
  <c r="AY766" i="2"/>
  <c r="AX766" i="2"/>
  <c r="AS766" i="2"/>
  <c r="AS777" i="2" s="1"/>
  <c r="AN766" i="2"/>
  <c r="AI766" i="2"/>
  <c r="AD766" i="2"/>
  <c r="Y766" i="2"/>
  <c r="Y777" i="2" s="1"/>
  <c r="T766" i="2"/>
  <c r="T777" i="2" s="1"/>
  <c r="O766" i="2"/>
  <c r="O777" i="2" s="1"/>
  <c r="J766" i="2"/>
  <c r="J777" i="2" s="1"/>
  <c r="AW763" i="2"/>
  <c r="AW105" i="5" s="1"/>
  <c r="AV763" i="2"/>
  <c r="AV105" i="5" s="1"/>
  <c r="AU763" i="2"/>
  <c r="AU105" i="5" s="1"/>
  <c r="AT763" i="2"/>
  <c r="AT105" i="5" s="1"/>
  <c r="AR763" i="2"/>
  <c r="AR105" i="5" s="1"/>
  <c r="AQ763" i="2"/>
  <c r="AQ105" i="5" s="1"/>
  <c r="AP763" i="2"/>
  <c r="AP105" i="5" s="1"/>
  <c r="AS762" i="2"/>
  <c r="AN762" i="2"/>
  <c r="AI762" i="2"/>
  <c r="AD762" i="2"/>
  <c r="AS761" i="2"/>
  <c r="AN761" i="2"/>
  <c r="AI761" i="2"/>
  <c r="AD761" i="2"/>
  <c r="Y761" i="2"/>
  <c r="T761" i="2"/>
  <c r="O761" i="2"/>
  <c r="J761" i="2"/>
  <c r="AS760" i="2"/>
  <c r="AN760" i="2"/>
  <c r="AI760" i="2"/>
  <c r="AD760" i="2"/>
  <c r="Y760" i="2"/>
  <c r="AS759" i="2"/>
  <c r="AN759" i="2"/>
  <c r="AI759" i="2"/>
  <c r="AD759" i="2"/>
  <c r="Y759" i="2"/>
  <c r="T759" i="2"/>
  <c r="O759" i="2"/>
  <c r="J759" i="2"/>
  <c r="AX758" i="2"/>
  <c r="AY758" i="2" s="1"/>
  <c r="AZ758" i="2" s="1"/>
  <c r="BA758" i="2" s="1"/>
  <c r="BB758" i="2" s="1"/>
  <c r="BC758" i="2" s="1"/>
  <c r="BD758" i="2" s="1"/>
  <c r="BE758" i="2" s="1"/>
  <c r="BF758" i="2" s="1"/>
  <c r="BG758" i="2" s="1"/>
  <c r="AS758" i="2"/>
  <c r="AN758" i="2"/>
  <c r="AI758" i="2"/>
  <c r="AD758" i="2"/>
  <c r="Y758" i="2"/>
  <c r="AS757" i="2"/>
  <c r="AN757" i="2"/>
  <c r="AI757" i="2"/>
  <c r="AD757" i="2"/>
  <c r="Y757" i="2"/>
  <c r="T757" i="2"/>
  <c r="O757" i="2"/>
  <c r="J757" i="2"/>
  <c r="AS756" i="2"/>
  <c r="AN756" i="2"/>
  <c r="AI756" i="2"/>
  <c r="AD756" i="2"/>
  <c r="Y756" i="2"/>
  <c r="T756" i="2"/>
  <c r="O756" i="2"/>
  <c r="J756" i="2"/>
  <c r="AS755" i="2"/>
  <c r="AO755" i="2"/>
  <c r="AO763" i="2" s="1"/>
  <c r="AM755" i="2"/>
  <c r="AM763" i="2" s="1"/>
  <c r="AL755" i="2"/>
  <c r="AL763" i="2" s="1"/>
  <c r="AK755" i="2"/>
  <c r="AK763" i="2" s="1"/>
  <c r="AJ755" i="2"/>
  <c r="AJ763" i="2" s="1"/>
  <c r="AH755" i="2"/>
  <c r="AH763" i="2" s="1"/>
  <c r="AG755" i="2"/>
  <c r="AG763" i="2" s="1"/>
  <c r="AF755" i="2"/>
  <c r="AF763" i="2" s="1"/>
  <c r="AE755" i="2"/>
  <c r="AE763" i="2" s="1"/>
  <c r="AC755" i="2"/>
  <c r="AC763" i="2" s="1"/>
  <c r="AB755" i="2"/>
  <c r="AB763" i="2" s="1"/>
  <c r="AA755" i="2"/>
  <c r="AA763" i="2" s="1"/>
  <c r="Z755" i="2"/>
  <c r="Z763" i="2" s="1"/>
  <c r="X755" i="2"/>
  <c r="X763" i="2" s="1"/>
  <c r="W755" i="2"/>
  <c r="W763" i="2" s="1"/>
  <c r="V755" i="2"/>
  <c r="V763" i="2" s="1"/>
  <c r="U755" i="2"/>
  <c r="U763" i="2" s="1"/>
  <c r="S755" i="2"/>
  <c r="S763" i="2" s="1"/>
  <c r="R755" i="2"/>
  <c r="R763" i="2" s="1"/>
  <c r="Q755" i="2"/>
  <c r="Q763" i="2" s="1"/>
  <c r="P755" i="2"/>
  <c r="P763" i="2" s="1"/>
  <c r="N755" i="2"/>
  <c r="N763" i="2" s="1"/>
  <c r="M755" i="2"/>
  <c r="M763" i="2" s="1"/>
  <c r="L755" i="2"/>
  <c r="L763" i="2" s="1"/>
  <c r="K755" i="2"/>
  <c r="K763" i="2" s="1"/>
  <c r="I755" i="2"/>
  <c r="I763" i="2" s="1"/>
  <c r="H755" i="2"/>
  <c r="H763" i="2" s="1"/>
  <c r="G755" i="2"/>
  <c r="G763" i="2" s="1"/>
  <c r="F755" i="2"/>
  <c r="F763" i="2" s="1"/>
  <c r="E755" i="2"/>
  <c r="E763" i="2" s="1"/>
  <c r="D755" i="2"/>
  <c r="D763" i="2" s="1"/>
  <c r="C755" i="2"/>
  <c r="C763" i="2" s="1"/>
  <c r="AN754" i="2"/>
  <c r="AI754" i="2"/>
  <c r="AD754" i="2"/>
  <c r="Y754" i="2"/>
  <c r="T754" i="2"/>
  <c r="O754" i="2"/>
  <c r="J754" i="2"/>
  <c r="AN753" i="2"/>
  <c r="AN755" i="2" s="1"/>
  <c r="AI753" i="2"/>
  <c r="AI755" i="2" s="1"/>
  <c r="AD753" i="2"/>
  <c r="AD755" i="2" s="1"/>
  <c r="Y753" i="2"/>
  <c r="Y755" i="2" s="1"/>
  <c r="T753" i="2"/>
  <c r="T755" i="2" s="1"/>
  <c r="O753" i="2"/>
  <c r="O755" i="2" s="1"/>
  <c r="J753" i="2"/>
  <c r="J755" i="2" s="1"/>
  <c r="AS752" i="2"/>
  <c r="AS763" i="2" s="1"/>
  <c r="AN752" i="2"/>
  <c r="AI752" i="2"/>
  <c r="AD752" i="2"/>
  <c r="Y752" i="2"/>
  <c r="T752" i="2"/>
  <c r="O752" i="2"/>
  <c r="O763" i="2" s="1"/>
  <c r="J752" i="2"/>
  <c r="AX747" i="2"/>
  <c r="AY747" i="2" s="1"/>
  <c r="AZ747" i="2" s="1"/>
  <c r="BA747" i="2" s="1"/>
  <c r="BB747" i="2" s="1"/>
  <c r="BC747" i="2" s="1"/>
  <c r="BD747" i="2" s="1"/>
  <c r="BE747" i="2" s="1"/>
  <c r="BF747" i="2" s="1"/>
  <c r="BG747" i="2" s="1"/>
  <c r="AW747" i="2"/>
  <c r="AV747" i="2"/>
  <c r="AU747" i="2"/>
  <c r="AT747" i="2"/>
  <c r="AS747" i="2"/>
  <c r="AR747" i="2"/>
  <c r="AQ747" i="2"/>
  <c r="AP747" i="2"/>
  <c r="AN747" i="2"/>
  <c r="AI747" i="2"/>
  <c r="AD747" i="2"/>
  <c r="Y747" i="2"/>
  <c r="T747" i="2"/>
  <c r="O747" i="2"/>
  <c r="J747" i="2"/>
  <c r="AY746" i="2"/>
  <c r="AZ746" i="2" s="1"/>
  <c r="BA746" i="2" s="1"/>
  <c r="BB746" i="2" s="1"/>
  <c r="BC746" i="2" s="1"/>
  <c r="BD746" i="2" s="1"/>
  <c r="BE746" i="2" s="1"/>
  <c r="BF746" i="2" s="1"/>
  <c r="BG746" i="2" s="1"/>
  <c r="AX746" i="2"/>
  <c r="AS746" i="2"/>
  <c r="AN746" i="2"/>
  <c r="AI746" i="2"/>
  <c r="AD746" i="2"/>
  <c r="Y746" i="2"/>
  <c r="T746" i="2"/>
  <c r="O746" i="2"/>
  <c r="J746" i="2"/>
  <c r="AX745" i="2"/>
  <c r="AY745" i="2" s="1"/>
  <c r="AZ745" i="2" s="1"/>
  <c r="BA745" i="2" s="1"/>
  <c r="BB745" i="2" s="1"/>
  <c r="BC745" i="2" s="1"/>
  <c r="BD745" i="2" s="1"/>
  <c r="BE745" i="2" s="1"/>
  <c r="BF745" i="2" s="1"/>
  <c r="BG745" i="2" s="1"/>
  <c r="AS745" i="2"/>
  <c r="AN745" i="2"/>
  <c r="AI745" i="2"/>
  <c r="AD745" i="2"/>
  <c r="Y745" i="2"/>
  <c r="AX744" i="2"/>
  <c r="AY744" i="2" s="1"/>
  <c r="AZ744" i="2" s="1"/>
  <c r="BA744" i="2" s="1"/>
  <c r="BB744" i="2" s="1"/>
  <c r="BC744" i="2" s="1"/>
  <c r="BD744" i="2" s="1"/>
  <c r="BE744" i="2" s="1"/>
  <c r="BF744" i="2" s="1"/>
  <c r="BG744" i="2" s="1"/>
  <c r="AS744" i="2"/>
  <c r="AN744" i="2"/>
  <c r="AI744" i="2"/>
  <c r="AD744" i="2"/>
  <c r="AS743" i="2"/>
  <c r="AN743" i="2"/>
  <c r="AI743" i="2"/>
  <c r="AD743" i="2"/>
  <c r="Y743" i="2"/>
  <c r="AX742" i="2"/>
  <c r="AY742" i="2" s="1"/>
  <c r="AZ742" i="2" s="1"/>
  <c r="BA742" i="2" s="1"/>
  <c r="BB742" i="2" s="1"/>
  <c r="BC742" i="2" s="1"/>
  <c r="BD742" i="2" s="1"/>
  <c r="BE742" i="2" s="1"/>
  <c r="BF742" i="2" s="1"/>
  <c r="BG742" i="2" s="1"/>
  <c r="AS742" i="2"/>
  <c r="AN742" i="2"/>
  <c r="AX741" i="2"/>
  <c r="AY741" i="2" s="1"/>
  <c r="AZ741" i="2" s="1"/>
  <c r="BA741" i="2" s="1"/>
  <c r="BB741" i="2" s="1"/>
  <c r="BC741" i="2" s="1"/>
  <c r="BD741" i="2" s="1"/>
  <c r="BE741" i="2" s="1"/>
  <c r="BF741" i="2" s="1"/>
  <c r="BG741" i="2" s="1"/>
  <c r="AS741" i="2"/>
  <c r="AN741" i="2"/>
  <c r="AW740" i="2"/>
  <c r="AV740" i="2"/>
  <c r="AV748" i="2" s="1"/>
  <c r="AU740" i="2"/>
  <c r="AU748" i="2" s="1"/>
  <c r="AT740" i="2"/>
  <c r="AT748" i="2" s="1"/>
  <c r="AR740" i="2"/>
  <c r="AR748" i="2" s="1"/>
  <c r="AQ740" i="2"/>
  <c r="AQ748" i="2" s="1"/>
  <c r="AP740" i="2"/>
  <c r="AP748" i="2" s="1"/>
  <c r="AO740" i="2"/>
  <c r="AO748" i="2" s="1"/>
  <c r="AM740" i="2"/>
  <c r="AM748" i="2" s="1"/>
  <c r="AL740" i="2"/>
  <c r="AL748" i="2" s="1"/>
  <c r="AK740" i="2"/>
  <c r="AK748" i="2" s="1"/>
  <c r="AJ740" i="2"/>
  <c r="AJ748" i="2" s="1"/>
  <c r="AH740" i="2"/>
  <c r="AH748" i="2" s="1"/>
  <c r="AG740" i="2"/>
  <c r="AG748" i="2" s="1"/>
  <c r="AF740" i="2"/>
  <c r="AF748" i="2" s="1"/>
  <c r="AE740" i="2"/>
  <c r="AE748" i="2" s="1"/>
  <c r="AC740" i="2"/>
  <c r="AC748" i="2" s="1"/>
  <c r="AB740" i="2"/>
  <c r="AB748" i="2" s="1"/>
  <c r="AA740" i="2"/>
  <c r="AA748" i="2" s="1"/>
  <c r="Z740" i="2"/>
  <c r="Z748" i="2" s="1"/>
  <c r="V740" i="2"/>
  <c r="V748" i="2" s="1"/>
  <c r="U740" i="2"/>
  <c r="U748" i="2" s="1"/>
  <c r="I740" i="2"/>
  <c r="I748" i="2" s="1"/>
  <c r="BD739" i="2"/>
  <c r="AY739" i="2"/>
  <c r="AS739" i="2"/>
  <c r="AN739" i="2"/>
  <c r="AI739" i="2"/>
  <c r="AD739" i="2"/>
  <c r="Y739" i="2"/>
  <c r="T739" i="2"/>
  <c r="O739" i="2"/>
  <c r="J739" i="2"/>
  <c r="BD738" i="2"/>
  <c r="AY738" i="2"/>
  <c r="AS738" i="2"/>
  <c r="AN738" i="2"/>
  <c r="AI738" i="2"/>
  <c r="AD738" i="2"/>
  <c r="Y738" i="2"/>
  <c r="T738" i="2"/>
  <c r="O738" i="2"/>
  <c r="J738" i="2"/>
  <c r="BD737" i="2"/>
  <c r="AY737" i="2"/>
  <c r="AS737" i="2"/>
  <c r="AN737" i="2"/>
  <c r="AI737" i="2"/>
  <c r="AD737" i="2"/>
  <c r="Y737" i="2"/>
  <c r="T737" i="2"/>
  <c r="O737" i="2"/>
  <c r="J737" i="2"/>
  <c r="J740" i="2" s="1"/>
  <c r="BD736" i="2"/>
  <c r="AY736" i="2"/>
  <c r="AS736" i="2"/>
  <c r="AN736" i="2"/>
  <c r="AI736" i="2"/>
  <c r="AI740" i="2" s="1"/>
  <c r="AD736" i="2"/>
  <c r="Y736" i="2"/>
  <c r="T736" i="2"/>
  <c r="O736" i="2"/>
  <c r="J736" i="2"/>
  <c r="BD735" i="2"/>
  <c r="AY735" i="2"/>
  <c r="AS735" i="2"/>
  <c r="AN735" i="2"/>
  <c r="AN740" i="2" s="1"/>
  <c r="AI735" i="2"/>
  <c r="AD735" i="2"/>
  <c r="AD740" i="2" s="1"/>
  <c r="Y735" i="2"/>
  <c r="Y740" i="2" s="1"/>
  <c r="X735" i="2"/>
  <c r="X740" i="2" s="1"/>
  <c r="W735" i="2"/>
  <c r="W740" i="2" s="1"/>
  <c r="V735" i="2"/>
  <c r="U735" i="2"/>
  <c r="T735" i="2" s="1"/>
  <c r="T740" i="2" s="1"/>
  <c r="S735" i="2"/>
  <c r="S740" i="2" s="1"/>
  <c r="R735" i="2"/>
  <c r="R740" i="2" s="1"/>
  <c r="Q735" i="2"/>
  <c r="Q740" i="2" s="1"/>
  <c r="P735" i="2"/>
  <c r="O735" i="2" s="1"/>
  <c r="O740" i="2" s="1"/>
  <c r="N735" i="2"/>
  <c r="N740" i="2" s="1"/>
  <c r="M735" i="2"/>
  <c r="M740" i="2" s="1"/>
  <c r="L735" i="2"/>
  <c r="L740" i="2" s="1"/>
  <c r="K735" i="2"/>
  <c r="K740" i="2" s="1"/>
  <c r="J735" i="2"/>
  <c r="I735" i="2"/>
  <c r="H735" i="2"/>
  <c r="H740" i="2" s="1"/>
  <c r="G735" i="2"/>
  <c r="G740" i="2" s="1"/>
  <c r="F735" i="2"/>
  <c r="F740" i="2" s="1"/>
  <c r="E735" i="2"/>
  <c r="E740" i="2" s="1"/>
  <c r="D735" i="2"/>
  <c r="D740" i="2" s="1"/>
  <c r="C735" i="2"/>
  <c r="C740" i="2" s="1"/>
  <c r="BD734" i="2"/>
  <c r="AY734" i="2"/>
  <c r="AS734" i="2"/>
  <c r="AN734" i="2"/>
  <c r="AI734" i="2"/>
  <c r="AD734" i="2"/>
  <c r="Y734" i="2"/>
  <c r="T734" i="2"/>
  <c r="O734" i="2"/>
  <c r="J734" i="2"/>
  <c r="BD733" i="2"/>
  <c r="AY733" i="2"/>
  <c r="AS733" i="2"/>
  <c r="AN733" i="2"/>
  <c r="AI733" i="2"/>
  <c r="AD733" i="2"/>
  <c r="Y733" i="2"/>
  <c r="T733" i="2"/>
  <c r="O733" i="2"/>
  <c r="J733" i="2"/>
  <c r="BD732" i="2"/>
  <c r="AY732" i="2"/>
  <c r="AS732" i="2"/>
  <c r="AN732" i="2"/>
  <c r="AI732" i="2"/>
  <c r="AD732" i="2"/>
  <c r="Y732" i="2"/>
  <c r="T732" i="2"/>
  <c r="O732" i="2"/>
  <c r="J732" i="2"/>
  <c r="BD731" i="2"/>
  <c r="AY731" i="2"/>
  <c r="AS731" i="2"/>
  <c r="AN731" i="2"/>
  <c r="AI731" i="2"/>
  <c r="AD731" i="2"/>
  <c r="Y731" i="2"/>
  <c r="T731" i="2"/>
  <c r="O731" i="2"/>
  <c r="J731" i="2"/>
  <c r="BD730" i="2"/>
  <c r="AY730" i="2"/>
  <c r="AS730" i="2"/>
  <c r="AS740" i="2" s="1"/>
  <c r="AN730" i="2"/>
  <c r="AI730" i="2"/>
  <c r="AD730" i="2"/>
  <c r="Y730" i="2"/>
  <c r="T730" i="2"/>
  <c r="O730" i="2"/>
  <c r="J730" i="2"/>
  <c r="AS729" i="2"/>
  <c r="AN729" i="2"/>
  <c r="AI729" i="2"/>
  <c r="AD729" i="2"/>
  <c r="Y729" i="2"/>
  <c r="AS728" i="2"/>
  <c r="AN728" i="2"/>
  <c r="AI728" i="2"/>
  <c r="AD728" i="2"/>
  <c r="Y728" i="2"/>
  <c r="T728" i="2"/>
  <c r="O728" i="2"/>
  <c r="J728" i="2"/>
  <c r="AW724" i="2"/>
  <c r="AV724" i="2"/>
  <c r="AU724" i="2"/>
  <c r="AT724" i="2"/>
  <c r="AS724" i="2" s="1"/>
  <c r="AR724" i="2"/>
  <c r="AQ724" i="2"/>
  <c r="AP724" i="2"/>
  <c r="AN724" i="2"/>
  <c r="AI724" i="2"/>
  <c r="AD724" i="2"/>
  <c r="Y724" i="2"/>
  <c r="T724" i="2"/>
  <c r="O724" i="2"/>
  <c r="J724" i="2"/>
  <c r="AW723" i="2"/>
  <c r="AW725" i="2" s="1"/>
  <c r="AV723" i="2"/>
  <c r="AV725" i="2" s="1"/>
  <c r="AU723" i="2"/>
  <c r="AU725" i="2" s="1"/>
  <c r="AU749" i="2" s="1"/>
  <c r="AT723" i="2"/>
  <c r="AT725" i="2" s="1"/>
  <c r="AT749" i="2" s="1"/>
  <c r="AR723" i="2"/>
  <c r="AR725" i="2" s="1"/>
  <c r="AR749" i="2" s="1"/>
  <c r="AQ723" i="2"/>
  <c r="AQ725" i="2" s="1"/>
  <c r="AQ749" i="2" s="1"/>
  <c r="AP723" i="2"/>
  <c r="AP725" i="2" s="1"/>
  <c r="AP749" i="2" s="1"/>
  <c r="AO723" i="2"/>
  <c r="AO725" i="2" s="1"/>
  <c r="AO749" i="2" s="1"/>
  <c r="AM723" i="2"/>
  <c r="AM725" i="2" s="1"/>
  <c r="AM749" i="2" s="1"/>
  <c r="AL723" i="2"/>
  <c r="AL725" i="2" s="1"/>
  <c r="AK723" i="2"/>
  <c r="AK725" i="2" s="1"/>
  <c r="AK749" i="2" s="1"/>
  <c r="AJ723" i="2"/>
  <c r="AJ725" i="2" s="1"/>
  <c r="AH723" i="2"/>
  <c r="AH725" i="2" s="1"/>
  <c r="AH749" i="2" s="1"/>
  <c r="AG723" i="2"/>
  <c r="AG725" i="2" s="1"/>
  <c r="AF723" i="2"/>
  <c r="AF725" i="2" s="1"/>
  <c r="AF749" i="2" s="1"/>
  <c r="AE723" i="2"/>
  <c r="AE725" i="2" s="1"/>
  <c r="AE749" i="2" s="1"/>
  <c r="AC723" i="2"/>
  <c r="AC725" i="2" s="1"/>
  <c r="AC749" i="2" s="1"/>
  <c r="AB723" i="2"/>
  <c r="AB725" i="2" s="1"/>
  <c r="AB749" i="2" s="1"/>
  <c r="AA723" i="2"/>
  <c r="AA725" i="2" s="1"/>
  <c r="AA749" i="2" s="1"/>
  <c r="Z723" i="2"/>
  <c r="Z725" i="2" s="1"/>
  <c r="Z749" i="2" s="1"/>
  <c r="Y723" i="2"/>
  <c r="Y725" i="2" s="1"/>
  <c r="X723" i="2"/>
  <c r="X725" i="2" s="1"/>
  <c r="W723" i="2"/>
  <c r="W725" i="2" s="1"/>
  <c r="V723" i="2"/>
  <c r="V725" i="2" s="1"/>
  <c r="V749" i="2" s="1"/>
  <c r="U723" i="2"/>
  <c r="U725" i="2" s="1"/>
  <c r="U749" i="2" s="1"/>
  <c r="S723" i="2"/>
  <c r="S725" i="2" s="1"/>
  <c r="R723" i="2"/>
  <c r="R725" i="2" s="1"/>
  <c r="Q723" i="2"/>
  <c r="Q725" i="2" s="1"/>
  <c r="P723" i="2"/>
  <c r="P725" i="2" s="1"/>
  <c r="N723" i="2"/>
  <c r="N725" i="2" s="1"/>
  <c r="M723" i="2"/>
  <c r="M725" i="2" s="1"/>
  <c r="L723" i="2"/>
  <c r="L725" i="2" s="1"/>
  <c r="K723" i="2"/>
  <c r="K725" i="2" s="1"/>
  <c r="I723" i="2"/>
  <c r="I725" i="2" s="1"/>
  <c r="I749" i="2" s="1"/>
  <c r="H723" i="2"/>
  <c r="H725" i="2" s="1"/>
  <c r="G723" i="2"/>
  <c r="G725" i="2" s="1"/>
  <c r="F723" i="2"/>
  <c r="F725" i="2" s="1"/>
  <c r="E723" i="2"/>
  <c r="E725" i="2" s="1"/>
  <c r="D723" i="2"/>
  <c r="D725" i="2" s="1"/>
  <c r="C723" i="2"/>
  <c r="C725" i="2" s="1"/>
  <c r="AS722" i="2"/>
  <c r="AN722" i="2"/>
  <c r="AI722" i="2"/>
  <c r="AD722" i="2"/>
  <c r="Y722" i="2"/>
  <c r="T722" i="2"/>
  <c r="O722" i="2"/>
  <c r="J722" i="2"/>
  <c r="AS721" i="2"/>
  <c r="AN721" i="2"/>
  <c r="AI721" i="2"/>
  <c r="AD721" i="2"/>
  <c r="Y721" i="2"/>
  <c r="T721" i="2"/>
  <c r="O721" i="2"/>
  <c r="J721" i="2"/>
  <c r="AS720" i="2"/>
  <c r="AN720" i="2"/>
  <c r="AI720" i="2"/>
  <c r="AD720" i="2"/>
  <c r="Y720" i="2"/>
  <c r="T720" i="2"/>
  <c r="O720" i="2"/>
  <c r="J720" i="2"/>
  <c r="AS719" i="2"/>
  <c r="AS723" i="2" s="1"/>
  <c r="AS725" i="2" s="1"/>
  <c r="AN719" i="2"/>
  <c r="AN723" i="2" s="1"/>
  <c r="AN725" i="2" s="1"/>
  <c r="AI719" i="2"/>
  <c r="AI723" i="2" s="1"/>
  <c r="AI725" i="2" s="1"/>
  <c r="AD719" i="2"/>
  <c r="AD723" i="2" s="1"/>
  <c r="AD725" i="2" s="1"/>
  <c r="Y719" i="2"/>
  <c r="T719" i="2"/>
  <c r="T723" i="2" s="1"/>
  <c r="T725" i="2" s="1"/>
  <c r="O719" i="2"/>
  <c r="O723" i="2" s="1"/>
  <c r="O725" i="2" s="1"/>
  <c r="J719" i="2"/>
  <c r="J723" i="2" s="1"/>
  <c r="J725" i="2" s="1"/>
  <c r="AS718" i="2"/>
  <c r="AN718" i="2"/>
  <c r="AI718" i="2"/>
  <c r="AD718" i="2"/>
  <c r="Y718" i="2"/>
  <c r="T718" i="2"/>
  <c r="O718" i="2"/>
  <c r="J718" i="2"/>
  <c r="AX717" i="2"/>
  <c r="AY717" i="2" s="1"/>
  <c r="AZ717" i="2" s="1"/>
  <c r="BA717" i="2" s="1"/>
  <c r="BB717" i="2" s="1"/>
  <c r="BC717" i="2" s="1"/>
  <c r="BD717" i="2" s="1"/>
  <c r="BE717" i="2" s="1"/>
  <c r="BF717" i="2" s="1"/>
  <c r="BG717" i="2" s="1"/>
  <c r="AS717" i="2"/>
  <c r="AN717" i="2"/>
  <c r="AI717" i="2"/>
  <c r="AD717" i="2"/>
  <c r="Y717" i="2"/>
  <c r="T717" i="2"/>
  <c r="O717" i="2"/>
  <c r="J717" i="2"/>
  <c r="AX716" i="2"/>
  <c r="AY716" i="2" s="1"/>
  <c r="AZ716" i="2" s="1"/>
  <c r="BA716" i="2" s="1"/>
  <c r="BB716" i="2" s="1"/>
  <c r="BC716" i="2" s="1"/>
  <c r="BD716" i="2" s="1"/>
  <c r="BE716" i="2" s="1"/>
  <c r="BF716" i="2" s="1"/>
  <c r="BG716" i="2" s="1"/>
  <c r="AS716" i="2"/>
  <c r="AN716" i="2"/>
  <c r="AI716" i="2"/>
  <c r="AD716" i="2"/>
  <c r="Y716" i="2"/>
  <c r="T716" i="2"/>
  <c r="O716" i="2"/>
  <c r="J716" i="2"/>
  <c r="AS715" i="2"/>
  <c r="AN715" i="2"/>
  <c r="AI715" i="2"/>
  <c r="AD715" i="2"/>
  <c r="Y715" i="2"/>
  <c r="T715" i="2"/>
  <c r="O715" i="2"/>
  <c r="J715" i="2"/>
  <c r="BD711" i="2"/>
  <c r="BD705" i="2"/>
  <c r="AY705" i="2"/>
  <c r="BD704" i="2"/>
  <c r="AW702" i="2"/>
  <c r="AV702" i="2"/>
  <c r="AU702" i="2"/>
  <c r="AT702" i="2"/>
  <c r="AS702" i="2"/>
  <c r="AR702" i="2"/>
  <c r="AQ702" i="2"/>
  <c r="AP702" i="2"/>
  <c r="AO702" i="2"/>
  <c r="AN702" i="2"/>
  <c r="AM702" i="2"/>
  <c r="AL702" i="2"/>
  <c r="AK702" i="2"/>
  <c r="AJ702" i="2"/>
  <c r="AI702" i="2"/>
  <c r="AH702" i="2"/>
  <c r="AG702" i="2"/>
  <c r="AF702" i="2"/>
  <c r="AE702" i="2"/>
  <c r="AD702" i="2"/>
  <c r="AC702" i="2"/>
  <c r="AB702" i="2"/>
  <c r="AA702" i="2"/>
  <c r="Z702" i="2"/>
  <c r="Y702" i="2"/>
  <c r="AT699" i="2"/>
  <c r="AT705" i="2" s="1"/>
  <c r="AO699" i="2"/>
  <c r="AO705" i="2" s="1"/>
  <c r="AJ699" i="2"/>
  <c r="AJ705" i="2" s="1"/>
  <c r="AE699" i="2"/>
  <c r="AE705" i="2" s="1"/>
  <c r="AY698" i="2"/>
  <c r="AX698" i="2"/>
  <c r="AW698" i="2"/>
  <c r="AV698" i="2"/>
  <c r="AU698" i="2"/>
  <c r="AT698" i="2"/>
  <c r="AT707" i="2" s="1"/>
  <c r="AS698" i="2"/>
  <c r="AR698" i="2"/>
  <c r="AQ698" i="2"/>
  <c r="AP698" i="2"/>
  <c r="AO698" i="2"/>
  <c r="AN698" i="2"/>
  <c r="AM698" i="2"/>
  <c r="AL698" i="2"/>
  <c r="AK698" i="2"/>
  <c r="AJ698" i="2"/>
  <c r="AJ707" i="2" s="1"/>
  <c r="AI698" i="2"/>
  <c r="AH698" i="2"/>
  <c r="AG698" i="2"/>
  <c r="AF698" i="2"/>
  <c r="AE698" i="2"/>
  <c r="AE707" i="2" s="1"/>
  <c r="AD698" i="2"/>
  <c r="AC698" i="2"/>
  <c r="AB698" i="2"/>
  <c r="AA698" i="2"/>
  <c r="AW696" i="2"/>
  <c r="AV696" i="2"/>
  <c r="AU696" i="2"/>
  <c r="AT696" i="2"/>
  <c r="AR696" i="2"/>
  <c r="AQ696" i="2"/>
  <c r="AP696" i="2"/>
  <c r="AO696" i="2"/>
  <c r="AM696" i="2"/>
  <c r="AL696" i="2"/>
  <c r="AK696" i="2"/>
  <c r="AJ696" i="2"/>
  <c r="AH696" i="2"/>
  <c r="AG696" i="2"/>
  <c r="AF696" i="2"/>
  <c r="AE696" i="2"/>
  <c r="AC696" i="2"/>
  <c r="AB696" i="2"/>
  <c r="AA696" i="2"/>
  <c r="Z696" i="2"/>
  <c r="V696" i="2"/>
  <c r="U696" i="2"/>
  <c r="I696" i="2"/>
  <c r="AW693" i="2"/>
  <c r="AV693" i="2"/>
  <c r="AU693" i="2"/>
  <c r="AT693" i="2"/>
  <c r="AT704" i="2" s="1"/>
  <c r="AR693" i="2"/>
  <c r="AQ693" i="2"/>
  <c r="AP693" i="2"/>
  <c r="AO693" i="2"/>
  <c r="AO704" i="2" s="1"/>
  <c r="AM693" i="2"/>
  <c r="AL693" i="2"/>
  <c r="AK693" i="2"/>
  <c r="AJ693" i="2"/>
  <c r="AJ704" i="2" s="1"/>
  <c r="AH693" i="2"/>
  <c r="AG693" i="2"/>
  <c r="AF693" i="2"/>
  <c r="AE693" i="2"/>
  <c r="AE704" i="2" s="1"/>
  <c r="AC693" i="2"/>
  <c r="AB693" i="2"/>
  <c r="AA693" i="2"/>
  <c r="Z693" i="2"/>
  <c r="Z704" i="2" s="1"/>
  <c r="X693" i="2"/>
  <c r="W693" i="2"/>
  <c r="V693" i="2"/>
  <c r="U693" i="2"/>
  <c r="S693" i="2"/>
  <c r="R693" i="2"/>
  <c r="Q693" i="2"/>
  <c r="P693" i="2"/>
  <c r="N693" i="2"/>
  <c r="M693" i="2"/>
  <c r="L693" i="2"/>
  <c r="K693" i="2"/>
  <c r="I693" i="2"/>
  <c r="H693" i="2"/>
  <c r="G693" i="2"/>
  <c r="F693" i="2"/>
  <c r="E693" i="2"/>
  <c r="D693" i="2"/>
  <c r="AY692" i="2"/>
  <c r="AX692" i="2"/>
  <c r="AW692" i="2"/>
  <c r="AV692" i="2"/>
  <c r="AU692" i="2"/>
  <c r="AT692" i="2"/>
  <c r="AT706" i="2" s="1"/>
  <c r="AS692" i="2"/>
  <c r="AR692" i="2"/>
  <c r="AQ692" i="2"/>
  <c r="AP692" i="2"/>
  <c r="AO692" i="2"/>
  <c r="AN692" i="2"/>
  <c r="AM692" i="2"/>
  <c r="AL692" i="2"/>
  <c r="AK692" i="2"/>
  <c r="AJ692" i="2"/>
  <c r="AJ706" i="2" s="1"/>
  <c r="AI692" i="2"/>
  <c r="AH692" i="2"/>
  <c r="AG692" i="2"/>
  <c r="AF692" i="2"/>
  <c r="AE692" i="2"/>
  <c r="AD692" i="2"/>
  <c r="AC692" i="2"/>
  <c r="AB692" i="2"/>
  <c r="AA692" i="2"/>
  <c r="Z692" i="2"/>
  <c r="Z706" i="2" s="1"/>
  <c r="W692" i="2"/>
  <c r="V692" i="2"/>
  <c r="J692" i="2"/>
  <c r="AM672" i="2"/>
  <c r="AT670" i="2"/>
  <c r="AO670" i="2"/>
  <c r="AJ670" i="2"/>
  <c r="AE670" i="2"/>
  <c r="Z670" i="2"/>
  <c r="U670" i="2"/>
  <c r="P670" i="2"/>
  <c r="K670" i="2"/>
  <c r="F670" i="2"/>
  <c r="E670" i="2"/>
  <c r="D670" i="2"/>
  <c r="C670" i="2"/>
  <c r="AT669" i="2"/>
  <c r="AO669" i="2"/>
  <c r="AJ669" i="2"/>
  <c r="AE669" i="2"/>
  <c r="Z669" i="2"/>
  <c r="U669" i="2"/>
  <c r="P669" i="2"/>
  <c r="K669" i="2"/>
  <c r="F669" i="2"/>
  <c r="E669" i="2"/>
  <c r="D669" i="2"/>
  <c r="C669" i="2"/>
  <c r="A667" i="2"/>
  <c r="AN666" i="2"/>
  <c r="AJ666" i="2"/>
  <c r="C666" i="2"/>
  <c r="A666" i="2"/>
  <c r="A664" i="2"/>
  <c r="BD663" i="2"/>
  <c r="AW663" i="2"/>
  <c r="AV663" i="2"/>
  <c r="AU663" i="2"/>
  <c r="AR663" i="2"/>
  <c r="AQ663" i="2"/>
  <c r="AP663" i="2"/>
  <c r="AO663" i="2"/>
  <c r="AM663" i="2"/>
  <c r="AL663" i="2"/>
  <c r="AK663" i="2"/>
  <c r="AJ663" i="2"/>
  <c r="AH663" i="2"/>
  <c r="AG663" i="2"/>
  <c r="AF663" i="2"/>
  <c r="AE663" i="2"/>
  <c r="AC663" i="2"/>
  <c r="AB663" i="2"/>
  <c r="AA663" i="2"/>
  <c r="Z663" i="2"/>
  <c r="X663" i="2"/>
  <c r="W663" i="2"/>
  <c r="V663" i="2"/>
  <c r="U663" i="2"/>
  <c r="S663" i="2"/>
  <c r="R663" i="2"/>
  <c r="Q663" i="2"/>
  <c r="P663" i="2"/>
  <c r="N663" i="2"/>
  <c r="M663" i="2"/>
  <c r="L663" i="2"/>
  <c r="K663" i="2"/>
  <c r="I663" i="2"/>
  <c r="H663" i="2"/>
  <c r="G663" i="2"/>
  <c r="F663" i="2"/>
  <c r="E663" i="2"/>
  <c r="D663" i="2"/>
  <c r="C663" i="2"/>
  <c r="A663" i="2"/>
  <c r="P661" i="2"/>
  <c r="A661" i="2"/>
  <c r="BD660" i="2"/>
  <c r="AW660" i="2"/>
  <c r="AV660" i="2"/>
  <c r="AU660" i="2"/>
  <c r="AY660" i="2" s="1"/>
  <c r="AT660" i="2"/>
  <c r="AR660" i="2"/>
  <c r="AQ660" i="2"/>
  <c r="AP660" i="2"/>
  <c r="AO660" i="2"/>
  <c r="AM660" i="2"/>
  <c r="AL660" i="2"/>
  <c r="AK660" i="2"/>
  <c r="AJ660" i="2"/>
  <c r="AI660" i="2"/>
  <c r="AH660" i="2"/>
  <c r="AG660" i="2"/>
  <c r="AF660" i="2"/>
  <c r="AE660" i="2"/>
  <c r="AD660" i="2"/>
  <c r="AC660" i="2"/>
  <c r="AB660" i="2"/>
  <c r="AA660" i="2"/>
  <c r="Z660" i="2"/>
  <c r="Y660" i="2"/>
  <c r="X660" i="2"/>
  <c r="W660" i="2"/>
  <c r="V660" i="2"/>
  <c r="U660" i="2"/>
  <c r="T660" i="2"/>
  <c r="S660" i="2"/>
  <c r="R660" i="2"/>
  <c r="Q660" i="2"/>
  <c r="P660" i="2"/>
  <c r="O660" i="2"/>
  <c r="N660" i="2"/>
  <c r="M660" i="2"/>
  <c r="L660" i="2"/>
  <c r="K660" i="2"/>
  <c r="J660" i="2"/>
  <c r="I660" i="2"/>
  <c r="H660" i="2"/>
  <c r="G660" i="2"/>
  <c r="F660" i="2"/>
  <c r="E660" i="2"/>
  <c r="D660" i="2"/>
  <c r="C660" i="2"/>
  <c r="A660" i="2"/>
  <c r="BD659" i="2"/>
  <c r="AY659" i="2"/>
  <c r="AW659" i="2"/>
  <c r="AV659" i="2"/>
  <c r="AU659" i="2"/>
  <c r="AT659" i="2"/>
  <c r="AR659" i="2"/>
  <c r="AQ659" i="2"/>
  <c r="AP659" i="2"/>
  <c r="AO659" i="2"/>
  <c r="AM659" i="2"/>
  <c r="AL659" i="2"/>
  <c r="AK659" i="2"/>
  <c r="AJ659" i="2"/>
  <c r="AH659" i="2"/>
  <c r="AG659" i="2"/>
  <c r="AF659" i="2"/>
  <c r="AE659" i="2"/>
  <c r="AC659" i="2"/>
  <c r="AB659" i="2"/>
  <c r="AA659" i="2"/>
  <c r="Z659" i="2"/>
  <c r="Y659" i="2"/>
  <c r="X659" i="2"/>
  <c r="W659" i="2"/>
  <c r="V659" i="2"/>
  <c r="U659" i="2"/>
  <c r="T659" i="2"/>
  <c r="S659" i="2"/>
  <c r="R659" i="2"/>
  <c r="Q659" i="2"/>
  <c r="P659" i="2"/>
  <c r="O659" i="2"/>
  <c r="N659" i="2"/>
  <c r="M659" i="2"/>
  <c r="L659" i="2"/>
  <c r="K659" i="2"/>
  <c r="J659" i="2"/>
  <c r="I659" i="2"/>
  <c r="H659" i="2"/>
  <c r="G659" i="2"/>
  <c r="F659" i="2"/>
  <c r="E659" i="2"/>
  <c r="D659" i="2"/>
  <c r="C659" i="2"/>
  <c r="A659" i="2"/>
  <c r="BD658" i="2"/>
  <c r="AW658" i="2"/>
  <c r="AV658" i="2"/>
  <c r="AU658" i="2"/>
  <c r="AY658" i="2" s="1"/>
  <c r="AT658" i="2"/>
  <c r="AR658" i="2"/>
  <c r="AQ658" i="2"/>
  <c r="AP658" i="2"/>
  <c r="AO658" i="2"/>
  <c r="AM658" i="2"/>
  <c r="AL658" i="2"/>
  <c r="AK658" i="2"/>
  <c r="AJ658" i="2"/>
  <c r="AH658" i="2"/>
  <c r="AG658" i="2"/>
  <c r="AF658" i="2"/>
  <c r="AE658" i="2"/>
  <c r="AC658" i="2"/>
  <c r="AB658" i="2"/>
  <c r="AA658" i="2"/>
  <c r="Z658" i="2"/>
  <c r="Y658" i="2"/>
  <c r="X658" i="2"/>
  <c r="W658" i="2"/>
  <c r="V658" i="2"/>
  <c r="U658" i="2"/>
  <c r="T658" i="2"/>
  <c r="S658" i="2"/>
  <c r="R658" i="2"/>
  <c r="Q658" i="2"/>
  <c r="P658" i="2"/>
  <c r="O658" i="2"/>
  <c r="N658" i="2"/>
  <c r="M658" i="2"/>
  <c r="L658" i="2"/>
  <c r="K658" i="2"/>
  <c r="J658" i="2"/>
  <c r="I658" i="2"/>
  <c r="H658" i="2"/>
  <c r="G658" i="2"/>
  <c r="F658" i="2"/>
  <c r="E658" i="2"/>
  <c r="D658" i="2"/>
  <c r="C658" i="2"/>
  <c r="A658" i="2"/>
  <c r="BD657" i="2"/>
  <c r="AY657" i="2"/>
  <c r="AW657" i="2"/>
  <c r="AV657" i="2"/>
  <c r="AU657" i="2"/>
  <c r="AT657" i="2"/>
  <c r="AR657" i="2"/>
  <c r="AQ657" i="2"/>
  <c r="AP657" i="2"/>
  <c r="AO657" i="2"/>
  <c r="AM657" i="2"/>
  <c r="AL657" i="2"/>
  <c r="AK657" i="2"/>
  <c r="AJ657" i="2"/>
  <c r="AH657" i="2"/>
  <c r="AG657" i="2"/>
  <c r="AF657" i="2"/>
  <c r="AE657" i="2"/>
  <c r="AC657" i="2"/>
  <c r="AB657" i="2"/>
  <c r="AA657" i="2"/>
  <c r="Z657" i="2"/>
  <c r="Y657" i="2"/>
  <c r="X657" i="2"/>
  <c r="W657" i="2"/>
  <c r="V657" i="2"/>
  <c r="U657" i="2"/>
  <c r="T657" i="2"/>
  <c r="S657" i="2"/>
  <c r="R657" i="2"/>
  <c r="Q657" i="2"/>
  <c r="P657" i="2"/>
  <c r="O657" i="2"/>
  <c r="N657" i="2"/>
  <c r="M657" i="2"/>
  <c r="L657" i="2"/>
  <c r="K657" i="2"/>
  <c r="J657" i="2"/>
  <c r="I657" i="2"/>
  <c r="H657" i="2"/>
  <c r="G657" i="2"/>
  <c r="F657" i="2"/>
  <c r="E657" i="2"/>
  <c r="D657" i="2"/>
  <c r="C657" i="2"/>
  <c r="A657" i="2"/>
  <c r="AW656" i="2"/>
  <c r="AV656" i="2"/>
  <c r="AU656" i="2"/>
  <c r="AT656" i="2"/>
  <c r="AR656" i="2"/>
  <c r="AQ656" i="2"/>
  <c r="AP656" i="2"/>
  <c r="AO656" i="2"/>
  <c r="AM656" i="2"/>
  <c r="AL656" i="2"/>
  <c r="AK656" i="2"/>
  <c r="AJ656" i="2"/>
  <c r="AH656" i="2"/>
  <c r="AG656" i="2"/>
  <c r="AF656" i="2"/>
  <c r="AE656" i="2"/>
  <c r="AC656" i="2"/>
  <c r="AB656" i="2"/>
  <c r="AA656" i="2"/>
  <c r="Z656" i="2"/>
  <c r="X656" i="2"/>
  <c r="W656" i="2"/>
  <c r="V656" i="2"/>
  <c r="U656" i="2"/>
  <c r="T656" i="2"/>
  <c r="S656" i="2"/>
  <c r="R656" i="2"/>
  <c r="Q656" i="2"/>
  <c r="P656" i="2"/>
  <c r="O656" i="2"/>
  <c r="N656" i="2"/>
  <c r="M656" i="2"/>
  <c r="L656" i="2"/>
  <c r="K656" i="2"/>
  <c r="J656" i="2"/>
  <c r="I656" i="2"/>
  <c r="H656" i="2"/>
  <c r="G656" i="2"/>
  <c r="F656" i="2"/>
  <c r="E656" i="2"/>
  <c r="D656" i="2"/>
  <c r="C656" i="2"/>
  <c r="A656" i="2"/>
  <c r="BD655" i="2"/>
  <c r="AW655" i="2"/>
  <c r="AY655" i="2" s="1"/>
  <c r="AV655" i="2"/>
  <c r="AU655" i="2"/>
  <c r="AT655" i="2"/>
  <c r="AS655" i="2"/>
  <c r="AR655" i="2"/>
  <c r="AQ655" i="2"/>
  <c r="AP655" i="2"/>
  <c r="AO655" i="2"/>
  <c r="AN655" i="2"/>
  <c r="AM655" i="2"/>
  <c r="AL655" i="2"/>
  <c r="AK655" i="2"/>
  <c r="AJ655" i="2"/>
  <c r="AI655" i="2"/>
  <c r="AH655" i="2"/>
  <c r="AG655" i="2"/>
  <c r="AF655" i="2"/>
  <c r="AE655" i="2"/>
  <c r="AD655" i="2"/>
  <c r="AC655" i="2"/>
  <c r="AB655" i="2"/>
  <c r="AA655" i="2"/>
  <c r="Z655" i="2"/>
  <c r="Y655" i="2"/>
  <c r="X655" i="2"/>
  <c r="W655" i="2"/>
  <c r="V655" i="2"/>
  <c r="U655" i="2"/>
  <c r="T655" i="2"/>
  <c r="S655" i="2"/>
  <c r="R655" i="2"/>
  <c r="Q655" i="2"/>
  <c r="P655" i="2"/>
  <c r="O655" i="2"/>
  <c r="N655" i="2"/>
  <c r="M655" i="2"/>
  <c r="L655" i="2"/>
  <c r="K655" i="2"/>
  <c r="J655" i="2"/>
  <c r="I655" i="2"/>
  <c r="H655" i="2"/>
  <c r="G655" i="2"/>
  <c r="F655" i="2"/>
  <c r="E655" i="2"/>
  <c r="D655" i="2"/>
  <c r="C655" i="2"/>
  <c r="A655" i="2"/>
  <c r="BD654" i="2"/>
  <c r="AW654" i="2"/>
  <c r="AV654" i="2"/>
  <c r="AU654" i="2"/>
  <c r="AY654" i="2" s="1"/>
  <c r="AT654" i="2"/>
  <c r="AR654" i="2"/>
  <c r="AQ654" i="2"/>
  <c r="AP654" i="2"/>
  <c r="AO654" i="2"/>
  <c r="AM654" i="2"/>
  <c r="AL654" i="2"/>
  <c r="AK654" i="2"/>
  <c r="AJ654" i="2"/>
  <c r="AH654" i="2"/>
  <c r="AG654" i="2"/>
  <c r="AF654" i="2"/>
  <c r="AE654" i="2"/>
  <c r="AC654" i="2"/>
  <c r="AB654" i="2"/>
  <c r="AA654" i="2"/>
  <c r="Z654" i="2"/>
  <c r="X654" i="2"/>
  <c r="W654" i="2"/>
  <c r="V654" i="2"/>
  <c r="U654" i="2"/>
  <c r="S654" i="2"/>
  <c r="R654" i="2"/>
  <c r="Q654" i="2"/>
  <c r="P654" i="2"/>
  <c r="N654" i="2"/>
  <c r="M654" i="2"/>
  <c r="L654" i="2"/>
  <c r="K654" i="2"/>
  <c r="I654" i="2"/>
  <c r="H654" i="2"/>
  <c r="G654" i="2"/>
  <c r="F654" i="2"/>
  <c r="E654" i="2"/>
  <c r="D654" i="2"/>
  <c r="C654" i="2"/>
  <c r="A654" i="2"/>
  <c r="BD653" i="2"/>
  <c r="AY653" i="2"/>
  <c r="AW653" i="2"/>
  <c r="AV653" i="2"/>
  <c r="AU653" i="2"/>
  <c r="AT653" i="2"/>
  <c r="AR653" i="2"/>
  <c r="AQ653" i="2"/>
  <c r="AP653" i="2"/>
  <c r="AO653" i="2"/>
  <c r="AM653" i="2"/>
  <c r="AL653" i="2"/>
  <c r="AK653" i="2"/>
  <c r="AJ653" i="2"/>
  <c r="AH653" i="2"/>
  <c r="AG653" i="2"/>
  <c r="AF653" i="2"/>
  <c r="AE653" i="2"/>
  <c r="AC653" i="2"/>
  <c r="AB653" i="2"/>
  <c r="AA653" i="2"/>
  <c r="Z653" i="2"/>
  <c r="X653" i="2"/>
  <c r="W653" i="2"/>
  <c r="V653" i="2"/>
  <c r="U653" i="2"/>
  <c r="S653" i="2"/>
  <c r="R653" i="2"/>
  <c r="Q653" i="2"/>
  <c r="P653" i="2"/>
  <c r="N653" i="2"/>
  <c r="M653" i="2"/>
  <c r="L653" i="2"/>
  <c r="K653" i="2"/>
  <c r="I653" i="2"/>
  <c r="H653" i="2"/>
  <c r="G653" i="2"/>
  <c r="F653" i="2"/>
  <c r="E653" i="2"/>
  <c r="D653" i="2"/>
  <c r="C653" i="2"/>
  <c r="A653" i="2"/>
  <c r="BG652" i="2"/>
  <c r="BF652" i="2"/>
  <c r="BE652" i="2"/>
  <c r="BD652" i="2"/>
  <c r="BC652" i="2"/>
  <c r="BB652" i="2"/>
  <c r="BA652" i="2"/>
  <c r="AZ652" i="2"/>
  <c r="AY652" i="2"/>
  <c r="AX652" i="2"/>
  <c r="AW652" i="2"/>
  <c r="AV652" i="2"/>
  <c r="AU652" i="2"/>
  <c r="AT652" i="2"/>
  <c r="AS652" i="2"/>
  <c r="AR652" i="2"/>
  <c r="AQ652" i="2"/>
  <c r="AP652" i="2"/>
  <c r="AO652" i="2"/>
  <c r="AN652" i="2"/>
  <c r="AM652" i="2"/>
  <c r="AL652" i="2"/>
  <c r="AK652" i="2"/>
  <c r="AJ652" i="2"/>
  <c r="AI652" i="2"/>
  <c r="AH652" i="2"/>
  <c r="AG652" i="2"/>
  <c r="AF652" i="2"/>
  <c r="AE652" i="2"/>
  <c r="AD652" i="2"/>
  <c r="AC652" i="2"/>
  <c r="AB652" i="2"/>
  <c r="AA652" i="2"/>
  <c r="Z652" i="2"/>
  <c r="Y652" i="2"/>
  <c r="X652" i="2"/>
  <c r="W652" i="2"/>
  <c r="V652" i="2"/>
  <c r="U652" i="2"/>
  <c r="T652" i="2"/>
  <c r="S652" i="2"/>
  <c r="R652" i="2"/>
  <c r="Q652" i="2"/>
  <c r="P652" i="2"/>
  <c r="O652" i="2"/>
  <c r="N652" i="2"/>
  <c r="M652" i="2"/>
  <c r="L652" i="2"/>
  <c r="K652" i="2"/>
  <c r="J652" i="2"/>
  <c r="I652" i="2"/>
  <c r="H652" i="2"/>
  <c r="G652" i="2"/>
  <c r="F652" i="2"/>
  <c r="E652" i="2"/>
  <c r="D652" i="2"/>
  <c r="C652" i="2"/>
  <c r="A652" i="2"/>
  <c r="BD651" i="2"/>
  <c r="AY651" i="2"/>
  <c r="AW651" i="2"/>
  <c r="AV651" i="2"/>
  <c r="AU651" i="2"/>
  <c r="AT651" i="2"/>
  <c r="AR651" i="2"/>
  <c r="AQ651" i="2"/>
  <c r="AP651" i="2"/>
  <c r="AO651" i="2"/>
  <c r="AM651" i="2"/>
  <c r="AL651" i="2"/>
  <c r="AK651" i="2"/>
  <c r="AJ651" i="2"/>
  <c r="AH651" i="2"/>
  <c r="AG651" i="2"/>
  <c r="AF651" i="2"/>
  <c r="AE651" i="2"/>
  <c r="AC651" i="2"/>
  <c r="AB651" i="2"/>
  <c r="AA651" i="2"/>
  <c r="Z651" i="2"/>
  <c r="X651" i="2"/>
  <c r="W651" i="2"/>
  <c r="V651" i="2"/>
  <c r="U651" i="2"/>
  <c r="S651" i="2"/>
  <c r="R651" i="2"/>
  <c r="Q651" i="2"/>
  <c r="P651" i="2"/>
  <c r="N651" i="2"/>
  <c r="M651" i="2"/>
  <c r="L651" i="2"/>
  <c r="K651" i="2"/>
  <c r="I651" i="2"/>
  <c r="H651" i="2"/>
  <c r="G651" i="2"/>
  <c r="F651" i="2"/>
  <c r="E651" i="2"/>
  <c r="D651" i="2"/>
  <c r="C651" i="2"/>
  <c r="A651" i="2"/>
  <c r="BD650" i="2"/>
  <c r="AW650" i="2"/>
  <c r="AV650" i="2"/>
  <c r="AY650" i="2" s="1"/>
  <c r="AU650" i="2"/>
  <c r="AT650" i="2"/>
  <c r="AR650" i="2"/>
  <c r="AQ650" i="2"/>
  <c r="AP650" i="2"/>
  <c r="AO650" i="2"/>
  <c r="AM650" i="2"/>
  <c r="AL650" i="2"/>
  <c r="AK650" i="2"/>
  <c r="AJ650" i="2"/>
  <c r="AH650" i="2"/>
  <c r="AG650" i="2"/>
  <c r="AF650" i="2"/>
  <c r="AE650" i="2"/>
  <c r="AC650" i="2"/>
  <c r="AB650" i="2"/>
  <c r="AA650" i="2"/>
  <c r="Z650" i="2"/>
  <c r="X650" i="2"/>
  <c r="W650" i="2"/>
  <c r="V650" i="2"/>
  <c r="U650" i="2"/>
  <c r="S650" i="2"/>
  <c r="R650" i="2"/>
  <c r="Q650" i="2"/>
  <c r="P650" i="2"/>
  <c r="N650" i="2"/>
  <c r="M650" i="2"/>
  <c r="L650" i="2"/>
  <c r="K650" i="2"/>
  <c r="I650" i="2"/>
  <c r="H650" i="2"/>
  <c r="G650" i="2"/>
  <c r="F650" i="2"/>
  <c r="E650" i="2"/>
  <c r="D650" i="2"/>
  <c r="C650" i="2"/>
  <c r="A650" i="2"/>
  <c r="BD649" i="2"/>
  <c r="AY649" i="2"/>
  <c r="AW649" i="2"/>
  <c r="AV649" i="2"/>
  <c r="AU649" i="2"/>
  <c r="AT649" i="2"/>
  <c r="AR649" i="2"/>
  <c r="AQ649" i="2"/>
  <c r="AP649" i="2"/>
  <c r="AO649" i="2"/>
  <c r="AM649" i="2"/>
  <c r="AL649" i="2"/>
  <c r="AK649" i="2"/>
  <c r="AJ649" i="2"/>
  <c r="AH649" i="2"/>
  <c r="AG649" i="2"/>
  <c r="AF649" i="2"/>
  <c r="AE649" i="2"/>
  <c r="AC649" i="2"/>
  <c r="AB649" i="2"/>
  <c r="AA649" i="2"/>
  <c r="Z649" i="2"/>
  <c r="X649" i="2"/>
  <c r="W649" i="2"/>
  <c r="V649" i="2"/>
  <c r="U649" i="2"/>
  <c r="S649" i="2"/>
  <c r="R649" i="2"/>
  <c r="Q649" i="2"/>
  <c r="P649" i="2"/>
  <c r="N649" i="2"/>
  <c r="M649" i="2"/>
  <c r="L649" i="2"/>
  <c r="K649" i="2"/>
  <c r="I649" i="2"/>
  <c r="H649" i="2"/>
  <c r="G649" i="2"/>
  <c r="F649" i="2"/>
  <c r="E649" i="2"/>
  <c r="D649" i="2"/>
  <c r="C649" i="2"/>
  <c r="A649" i="2"/>
  <c r="BD648" i="2"/>
  <c r="AW648" i="2"/>
  <c r="AV648" i="2"/>
  <c r="AU648" i="2"/>
  <c r="AY648" i="2" s="1"/>
  <c r="AT648" i="2"/>
  <c r="AR648" i="2"/>
  <c r="AQ648" i="2"/>
  <c r="AP648" i="2"/>
  <c r="AO648" i="2"/>
  <c r="AM648" i="2"/>
  <c r="AL648" i="2"/>
  <c r="AK648" i="2"/>
  <c r="AJ648" i="2"/>
  <c r="AH648" i="2"/>
  <c r="AG648" i="2"/>
  <c r="AF648" i="2"/>
  <c r="AE648" i="2"/>
  <c r="AC648" i="2"/>
  <c r="AB648" i="2"/>
  <c r="AA648" i="2"/>
  <c r="Z648" i="2"/>
  <c r="X648" i="2"/>
  <c r="W648" i="2"/>
  <c r="V648" i="2"/>
  <c r="U648" i="2"/>
  <c r="S648" i="2"/>
  <c r="R648" i="2"/>
  <c r="Q648" i="2"/>
  <c r="P648" i="2"/>
  <c r="N648" i="2"/>
  <c r="M648" i="2"/>
  <c r="L648" i="2"/>
  <c r="K648" i="2"/>
  <c r="I648" i="2"/>
  <c r="H648" i="2"/>
  <c r="G648" i="2"/>
  <c r="F648" i="2"/>
  <c r="E648" i="2"/>
  <c r="D648" i="2"/>
  <c r="C648" i="2"/>
  <c r="A648" i="2"/>
  <c r="BD647" i="2"/>
  <c r="AW647" i="2"/>
  <c r="AY647" i="2" s="1"/>
  <c r="AV647" i="2"/>
  <c r="AU647" i="2"/>
  <c r="AT647" i="2"/>
  <c r="AR647" i="2"/>
  <c r="AQ647" i="2"/>
  <c r="AP647" i="2"/>
  <c r="AO647" i="2"/>
  <c r="AM647" i="2"/>
  <c r="AL647" i="2"/>
  <c r="AK647" i="2"/>
  <c r="AJ647" i="2"/>
  <c r="AH647" i="2"/>
  <c r="AG647" i="2"/>
  <c r="AF647" i="2"/>
  <c r="AE647" i="2"/>
  <c r="AC647" i="2"/>
  <c r="AB647" i="2"/>
  <c r="AA647" i="2"/>
  <c r="Z647" i="2"/>
  <c r="X647" i="2"/>
  <c r="W647" i="2"/>
  <c r="V647" i="2"/>
  <c r="U647" i="2"/>
  <c r="S647" i="2"/>
  <c r="R647" i="2"/>
  <c r="Q647" i="2"/>
  <c r="P647" i="2"/>
  <c r="N647" i="2"/>
  <c r="M647" i="2"/>
  <c r="L647" i="2"/>
  <c r="K647" i="2"/>
  <c r="I647" i="2"/>
  <c r="H647" i="2"/>
  <c r="G647" i="2"/>
  <c r="F647" i="2"/>
  <c r="E647" i="2"/>
  <c r="D647" i="2"/>
  <c r="C647" i="2"/>
  <c r="A647" i="2"/>
  <c r="BD646" i="2"/>
  <c r="AW646" i="2"/>
  <c r="AV646" i="2"/>
  <c r="AU646" i="2"/>
  <c r="AY646" i="2" s="1"/>
  <c r="AT646" i="2"/>
  <c r="AR646" i="2"/>
  <c r="AQ646" i="2"/>
  <c r="AP646" i="2"/>
  <c r="AO646" i="2"/>
  <c r="AM646" i="2"/>
  <c r="AL646" i="2"/>
  <c r="AK646" i="2"/>
  <c r="AJ646" i="2"/>
  <c r="AH646" i="2"/>
  <c r="AG646" i="2"/>
  <c r="AF646" i="2"/>
  <c r="AE646" i="2"/>
  <c r="AC646" i="2"/>
  <c r="AB646" i="2"/>
  <c r="AA646" i="2"/>
  <c r="Z646" i="2"/>
  <c r="Y646" i="2"/>
  <c r="X646" i="2"/>
  <c r="W646" i="2"/>
  <c r="V646" i="2"/>
  <c r="U646" i="2"/>
  <c r="T646" i="2"/>
  <c r="S646" i="2"/>
  <c r="R646" i="2"/>
  <c r="Q646" i="2"/>
  <c r="P646" i="2"/>
  <c r="O646" i="2"/>
  <c r="N646" i="2"/>
  <c r="M646" i="2"/>
  <c r="L646" i="2"/>
  <c r="K646" i="2"/>
  <c r="J646" i="2"/>
  <c r="I646" i="2"/>
  <c r="H646" i="2"/>
  <c r="G646" i="2"/>
  <c r="F646" i="2"/>
  <c r="E646" i="2"/>
  <c r="D646" i="2"/>
  <c r="C646" i="2"/>
  <c r="A646" i="2"/>
  <c r="BD645" i="2"/>
  <c r="AY645" i="2"/>
  <c r="AW645" i="2"/>
  <c r="AV645" i="2"/>
  <c r="AU645" i="2"/>
  <c r="AT645" i="2"/>
  <c r="AR645" i="2"/>
  <c r="AQ645" i="2"/>
  <c r="AP645" i="2"/>
  <c r="AO645" i="2"/>
  <c r="AM645" i="2"/>
  <c r="AL645" i="2"/>
  <c r="AK645" i="2"/>
  <c r="AJ645" i="2"/>
  <c r="AH645" i="2"/>
  <c r="AG645" i="2"/>
  <c r="AF645" i="2"/>
  <c r="AE645" i="2"/>
  <c r="AC645" i="2"/>
  <c r="AB645" i="2"/>
  <c r="AA645" i="2"/>
  <c r="Z645" i="2"/>
  <c r="Y645" i="2"/>
  <c r="X645" i="2"/>
  <c r="W645" i="2"/>
  <c r="V645" i="2"/>
  <c r="U645" i="2"/>
  <c r="T645" i="2"/>
  <c r="S645" i="2"/>
  <c r="R645" i="2"/>
  <c r="Q645" i="2"/>
  <c r="P645" i="2"/>
  <c r="O645" i="2"/>
  <c r="N645" i="2"/>
  <c r="M645" i="2"/>
  <c r="L645" i="2"/>
  <c r="K645" i="2"/>
  <c r="J645" i="2"/>
  <c r="I645" i="2"/>
  <c r="H645" i="2"/>
  <c r="G645" i="2"/>
  <c r="F645" i="2"/>
  <c r="E645" i="2"/>
  <c r="D645" i="2"/>
  <c r="C645" i="2"/>
  <c r="A645" i="2"/>
  <c r="BD644" i="2"/>
  <c r="AW644" i="2"/>
  <c r="AV644" i="2"/>
  <c r="AY644" i="2" s="1"/>
  <c r="AU644" i="2"/>
  <c r="AT644" i="2"/>
  <c r="AR644" i="2"/>
  <c r="AQ644" i="2"/>
  <c r="AP644" i="2"/>
  <c r="AO644" i="2"/>
  <c r="AM644" i="2"/>
  <c r="AL644" i="2"/>
  <c r="AK644" i="2"/>
  <c r="AJ644" i="2"/>
  <c r="AH644" i="2"/>
  <c r="AG644" i="2"/>
  <c r="AF644" i="2"/>
  <c r="AE644" i="2"/>
  <c r="AC644" i="2"/>
  <c r="AB644" i="2"/>
  <c r="AA644" i="2"/>
  <c r="Z644" i="2"/>
  <c r="Y644" i="2"/>
  <c r="X644" i="2"/>
  <c r="W644" i="2"/>
  <c r="V644" i="2"/>
  <c r="U644" i="2"/>
  <c r="T644" i="2"/>
  <c r="S644" i="2"/>
  <c r="R644" i="2"/>
  <c r="Q644" i="2"/>
  <c r="P644" i="2"/>
  <c r="O644" i="2"/>
  <c r="N644" i="2"/>
  <c r="M644" i="2"/>
  <c r="L644" i="2"/>
  <c r="K644" i="2"/>
  <c r="J644" i="2"/>
  <c r="I644" i="2"/>
  <c r="H644" i="2"/>
  <c r="G644" i="2"/>
  <c r="F644" i="2"/>
  <c r="E644" i="2"/>
  <c r="D644" i="2"/>
  <c r="C644" i="2"/>
  <c r="A644" i="2"/>
  <c r="BD643" i="2"/>
  <c r="AY643" i="2"/>
  <c r="AW643" i="2"/>
  <c r="AV643" i="2"/>
  <c r="AU643" i="2"/>
  <c r="AT643" i="2"/>
  <c r="AR643" i="2"/>
  <c r="AQ643" i="2"/>
  <c r="AP643" i="2"/>
  <c r="AO643" i="2"/>
  <c r="AM643" i="2"/>
  <c r="AL643" i="2"/>
  <c r="AK643" i="2"/>
  <c r="AJ643" i="2"/>
  <c r="AH643" i="2"/>
  <c r="AG643" i="2"/>
  <c r="AF643" i="2"/>
  <c r="AE643" i="2"/>
  <c r="AC643" i="2"/>
  <c r="AB643" i="2"/>
  <c r="AA643" i="2"/>
  <c r="Z643" i="2"/>
  <c r="X643" i="2"/>
  <c r="W643" i="2"/>
  <c r="V643" i="2"/>
  <c r="U643" i="2"/>
  <c r="T643" i="2"/>
  <c r="S643" i="2"/>
  <c r="R643" i="2"/>
  <c r="Q643" i="2"/>
  <c r="P643" i="2"/>
  <c r="O643" i="2"/>
  <c r="N643" i="2"/>
  <c r="M643" i="2"/>
  <c r="L643" i="2"/>
  <c r="K643" i="2"/>
  <c r="J643" i="2"/>
  <c r="I643" i="2"/>
  <c r="H643" i="2"/>
  <c r="G643" i="2"/>
  <c r="F643" i="2"/>
  <c r="E643" i="2"/>
  <c r="D643" i="2"/>
  <c r="C643" i="2"/>
  <c r="A643" i="2"/>
  <c r="BD642" i="2"/>
  <c r="AW642" i="2"/>
  <c r="AV642" i="2"/>
  <c r="AU642" i="2"/>
  <c r="AY642" i="2" s="1"/>
  <c r="AT642" i="2"/>
  <c r="AR642" i="2"/>
  <c r="AQ642" i="2"/>
  <c r="AP642" i="2"/>
  <c r="AO642" i="2"/>
  <c r="AM642" i="2"/>
  <c r="AL642" i="2"/>
  <c r="AK642" i="2"/>
  <c r="AJ642" i="2"/>
  <c r="AH642" i="2"/>
  <c r="AG642" i="2"/>
  <c r="AF642" i="2"/>
  <c r="AE642" i="2"/>
  <c r="AC642" i="2"/>
  <c r="AB642" i="2"/>
  <c r="AA642" i="2"/>
  <c r="Z642" i="2"/>
  <c r="X642" i="2"/>
  <c r="W642" i="2"/>
  <c r="V642" i="2"/>
  <c r="U642" i="2"/>
  <c r="S642" i="2"/>
  <c r="R642" i="2"/>
  <c r="Q642" i="2"/>
  <c r="P642" i="2"/>
  <c r="N642" i="2"/>
  <c r="M642" i="2"/>
  <c r="L642" i="2"/>
  <c r="K642" i="2"/>
  <c r="I642" i="2"/>
  <c r="H642" i="2"/>
  <c r="G642" i="2"/>
  <c r="F642" i="2"/>
  <c r="E642" i="2"/>
  <c r="D642" i="2"/>
  <c r="C642" i="2"/>
  <c r="A642" i="2"/>
  <c r="BD641" i="2"/>
  <c r="AW641" i="2"/>
  <c r="AY641" i="2" s="1"/>
  <c r="AV641" i="2"/>
  <c r="AU641" i="2"/>
  <c r="AT641" i="2"/>
  <c r="AR641" i="2"/>
  <c r="AQ641" i="2"/>
  <c r="AP641" i="2"/>
  <c r="AO641" i="2"/>
  <c r="AM641" i="2"/>
  <c r="AL641" i="2"/>
  <c r="AK641" i="2"/>
  <c r="AJ641" i="2"/>
  <c r="AH641" i="2"/>
  <c r="AG641" i="2"/>
  <c r="AF641" i="2"/>
  <c r="AE641" i="2"/>
  <c r="AC641" i="2"/>
  <c r="AB641" i="2"/>
  <c r="AA641" i="2"/>
  <c r="Z641" i="2"/>
  <c r="X641" i="2"/>
  <c r="W641" i="2"/>
  <c r="V641" i="2"/>
  <c r="U641" i="2"/>
  <c r="T641" i="2"/>
  <c r="S641" i="2"/>
  <c r="R641" i="2"/>
  <c r="Q641" i="2"/>
  <c r="P641" i="2"/>
  <c r="O641" i="2"/>
  <c r="N641" i="2"/>
  <c r="M641" i="2"/>
  <c r="L641" i="2"/>
  <c r="K641" i="2"/>
  <c r="J641" i="2"/>
  <c r="I641" i="2"/>
  <c r="H641" i="2"/>
  <c r="G641" i="2"/>
  <c r="F641" i="2"/>
  <c r="E641" i="2"/>
  <c r="D641" i="2"/>
  <c r="C641" i="2"/>
  <c r="A641" i="2"/>
  <c r="BG640" i="2"/>
  <c r="BF640" i="2"/>
  <c r="BE640" i="2"/>
  <c r="BD640" i="2"/>
  <c r="BC640" i="2"/>
  <c r="BB640" i="2"/>
  <c r="BA640" i="2"/>
  <c r="AZ640" i="2"/>
  <c r="AX640" i="2"/>
  <c r="AW640" i="2"/>
  <c r="AV640" i="2"/>
  <c r="AU640" i="2"/>
  <c r="AY640" i="2" s="1"/>
  <c r="AT640" i="2"/>
  <c r="AR640" i="2"/>
  <c r="AQ640" i="2"/>
  <c r="AP640" i="2"/>
  <c r="AO640" i="2"/>
  <c r="AM640" i="2"/>
  <c r="AL640" i="2"/>
  <c r="AK640" i="2"/>
  <c r="AJ640" i="2"/>
  <c r="AH640" i="2"/>
  <c r="AG640" i="2"/>
  <c r="AF640" i="2"/>
  <c r="AE640" i="2"/>
  <c r="AC640" i="2"/>
  <c r="AB640" i="2"/>
  <c r="AA640" i="2"/>
  <c r="Z640" i="2"/>
  <c r="X640" i="2"/>
  <c r="W640" i="2"/>
  <c r="V640" i="2"/>
  <c r="U640" i="2"/>
  <c r="S640" i="2"/>
  <c r="R640" i="2"/>
  <c r="Q640" i="2"/>
  <c r="P640" i="2"/>
  <c r="N640" i="2"/>
  <c r="M640" i="2"/>
  <c r="L640" i="2"/>
  <c r="K640" i="2"/>
  <c r="I640" i="2"/>
  <c r="H640" i="2"/>
  <c r="G640" i="2"/>
  <c r="F640" i="2"/>
  <c r="E640" i="2"/>
  <c r="D640" i="2"/>
  <c r="C640" i="2"/>
  <c r="A640" i="2"/>
  <c r="BD639" i="2"/>
  <c r="AW639" i="2"/>
  <c r="AY639" i="2" s="1"/>
  <c r="AV639" i="2"/>
  <c r="AU639" i="2"/>
  <c r="AT639" i="2"/>
  <c r="AR639" i="2"/>
  <c r="AQ639" i="2"/>
  <c r="AP639" i="2"/>
  <c r="AO639" i="2"/>
  <c r="AM639" i="2"/>
  <c r="AL639" i="2"/>
  <c r="AK639" i="2"/>
  <c r="AJ639" i="2"/>
  <c r="AH639" i="2"/>
  <c r="AG639" i="2"/>
  <c r="AF639" i="2"/>
  <c r="AE639" i="2"/>
  <c r="AC639" i="2"/>
  <c r="AB639" i="2"/>
  <c r="AA639" i="2"/>
  <c r="Z639" i="2"/>
  <c r="X639" i="2"/>
  <c r="W639" i="2"/>
  <c r="V639" i="2"/>
  <c r="U639" i="2"/>
  <c r="S639" i="2"/>
  <c r="R639" i="2"/>
  <c r="Q639" i="2"/>
  <c r="P639" i="2"/>
  <c r="N639" i="2"/>
  <c r="M639" i="2"/>
  <c r="L639" i="2"/>
  <c r="K639" i="2"/>
  <c r="I639" i="2"/>
  <c r="H639" i="2"/>
  <c r="G639" i="2"/>
  <c r="F639" i="2"/>
  <c r="E639" i="2"/>
  <c r="D639" i="2"/>
  <c r="C639" i="2"/>
  <c r="A639" i="2"/>
  <c r="BD638" i="2"/>
  <c r="AW638" i="2"/>
  <c r="AV638" i="2"/>
  <c r="AU638" i="2"/>
  <c r="AY638" i="2" s="1"/>
  <c r="AT638" i="2"/>
  <c r="AR638" i="2"/>
  <c r="AQ638" i="2"/>
  <c r="AP638" i="2"/>
  <c r="AO638" i="2"/>
  <c r="AM638" i="2"/>
  <c r="AL638" i="2"/>
  <c r="AK638" i="2"/>
  <c r="AJ638" i="2"/>
  <c r="AH638" i="2"/>
  <c r="AG638" i="2"/>
  <c r="AF638" i="2"/>
  <c r="AE638" i="2"/>
  <c r="AC638" i="2"/>
  <c r="AB638" i="2"/>
  <c r="AA638" i="2"/>
  <c r="Z638" i="2"/>
  <c r="X638" i="2"/>
  <c r="W638" i="2"/>
  <c r="V638" i="2"/>
  <c r="U638" i="2"/>
  <c r="T638" i="2"/>
  <c r="S638" i="2"/>
  <c r="R638" i="2"/>
  <c r="Q638" i="2"/>
  <c r="P638" i="2"/>
  <c r="O638" i="2"/>
  <c r="N638" i="2"/>
  <c r="M638" i="2"/>
  <c r="L638" i="2"/>
  <c r="K638" i="2"/>
  <c r="J638" i="2"/>
  <c r="I638" i="2"/>
  <c r="H638" i="2"/>
  <c r="G638" i="2"/>
  <c r="F638" i="2"/>
  <c r="E638" i="2"/>
  <c r="D638" i="2"/>
  <c r="C638" i="2"/>
  <c r="A638" i="2"/>
  <c r="BD637" i="2"/>
  <c r="AY637" i="2"/>
  <c r="AW637" i="2"/>
  <c r="AV637" i="2"/>
  <c r="AU637" i="2"/>
  <c r="AT637" i="2"/>
  <c r="AR637" i="2"/>
  <c r="AQ637" i="2"/>
  <c r="AP637" i="2"/>
  <c r="AO637" i="2"/>
  <c r="AM637" i="2"/>
  <c r="AL637" i="2"/>
  <c r="AK637" i="2"/>
  <c r="AJ637" i="2"/>
  <c r="AH637" i="2"/>
  <c r="AG637" i="2"/>
  <c r="AF637" i="2"/>
  <c r="AE637" i="2"/>
  <c r="AD637" i="2"/>
  <c r="AC637" i="2"/>
  <c r="AB637" i="2"/>
  <c r="AA637" i="2"/>
  <c r="Z637" i="2"/>
  <c r="Y637" i="2"/>
  <c r="X637" i="2"/>
  <c r="W637" i="2"/>
  <c r="V637" i="2"/>
  <c r="U637" i="2"/>
  <c r="T637" i="2"/>
  <c r="S637" i="2"/>
  <c r="R637" i="2"/>
  <c r="Q637" i="2"/>
  <c r="P637" i="2"/>
  <c r="O637" i="2"/>
  <c r="N637" i="2"/>
  <c r="M637" i="2"/>
  <c r="L637" i="2"/>
  <c r="K637" i="2"/>
  <c r="J637" i="2"/>
  <c r="I637" i="2"/>
  <c r="H637" i="2"/>
  <c r="G637" i="2"/>
  <c r="F637" i="2"/>
  <c r="E637" i="2"/>
  <c r="D637" i="2"/>
  <c r="C637" i="2"/>
  <c r="A637" i="2"/>
  <c r="BD636" i="2"/>
  <c r="AY636" i="2"/>
  <c r="AW636" i="2"/>
  <c r="AV636" i="2"/>
  <c r="AU636" i="2"/>
  <c r="AT636" i="2"/>
  <c r="AR636" i="2"/>
  <c r="AQ636" i="2"/>
  <c r="AP636" i="2"/>
  <c r="AO636" i="2"/>
  <c r="AN636" i="2"/>
  <c r="AM636" i="2"/>
  <c r="AL636" i="2"/>
  <c r="AK636" i="2"/>
  <c r="AJ636" i="2"/>
  <c r="AI636" i="2"/>
  <c r="AH636" i="2"/>
  <c r="AG636" i="2"/>
  <c r="AF636" i="2"/>
  <c r="AE636" i="2"/>
  <c r="AD636" i="2"/>
  <c r="AC636" i="2"/>
  <c r="AB636" i="2"/>
  <c r="AA636" i="2"/>
  <c r="Z636" i="2"/>
  <c r="Y636" i="2"/>
  <c r="X636" i="2"/>
  <c r="W636" i="2"/>
  <c r="V636" i="2"/>
  <c r="U636" i="2"/>
  <c r="T636" i="2"/>
  <c r="S636" i="2"/>
  <c r="R636" i="2"/>
  <c r="Q636" i="2"/>
  <c r="P636" i="2"/>
  <c r="O636" i="2"/>
  <c r="N636" i="2"/>
  <c r="M636" i="2"/>
  <c r="L636" i="2"/>
  <c r="K636" i="2"/>
  <c r="J636" i="2"/>
  <c r="I636" i="2"/>
  <c r="H636" i="2"/>
  <c r="G636" i="2"/>
  <c r="F636" i="2"/>
  <c r="E636" i="2"/>
  <c r="D636" i="2"/>
  <c r="C636" i="2"/>
  <c r="A636" i="2"/>
  <c r="BD635" i="2"/>
  <c r="AY635" i="2"/>
  <c r="AW635" i="2"/>
  <c r="AV635" i="2"/>
  <c r="AU635" i="2"/>
  <c r="AT635" i="2"/>
  <c r="AR635" i="2"/>
  <c r="AQ635" i="2"/>
  <c r="AP635" i="2"/>
  <c r="AO635" i="2"/>
  <c r="AM635" i="2"/>
  <c r="AL635" i="2"/>
  <c r="AK635" i="2"/>
  <c r="AJ635" i="2"/>
  <c r="AH635" i="2"/>
  <c r="AG635" i="2"/>
  <c r="AG661" i="2" s="1"/>
  <c r="AF635" i="2"/>
  <c r="AE635" i="2"/>
  <c r="AC635" i="2"/>
  <c r="AB635" i="2"/>
  <c r="AA635" i="2"/>
  <c r="Z635" i="2"/>
  <c r="X635" i="2"/>
  <c r="W635" i="2"/>
  <c r="V635" i="2"/>
  <c r="U635" i="2"/>
  <c r="S635" i="2"/>
  <c r="R635" i="2"/>
  <c r="Q635" i="2"/>
  <c r="P635" i="2"/>
  <c r="N635" i="2"/>
  <c r="M635" i="2"/>
  <c r="L635" i="2"/>
  <c r="K635" i="2"/>
  <c r="I635" i="2"/>
  <c r="H635" i="2"/>
  <c r="G635" i="2"/>
  <c r="F635" i="2"/>
  <c r="E635" i="2"/>
  <c r="D635" i="2"/>
  <c r="C635" i="2"/>
  <c r="A635" i="2"/>
  <c r="BD634" i="2"/>
  <c r="AW634" i="2"/>
  <c r="AV634" i="2"/>
  <c r="AU634" i="2"/>
  <c r="AU661" i="2" s="1"/>
  <c r="AT634" i="2"/>
  <c r="AR634" i="2"/>
  <c r="AR661" i="2" s="1"/>
  <c r="AQ634" i="2"/>
  <c r="AQ661" i="2" s="1"/>
  <c r="AP634" i="2"/>
  <c r="AP661" i="2" s="1"/>
  <c r="AO634" i="2"/>
  <c r="AO661" i="2" s="1"/>
  <c r="AM634" i="2"/>
  <c r="AL634" i="2"/>
  <c r="AK634" i="2"/>
  <c r="AJ634" i="2"/>
  <c r="AJ661" i="2" s="1"/>
  <c r="AH634" i="2"/>
  <c r="AG634" i="2"/>
  <c r="AF634" i="2"/>
  <c r="AF661" i="2" s="1"/>
  <c r="AE634" i="2"/>
  <c r="AE661" i="2" s="1"/>
  <c r="AD634" i="2"/>
  <c r="AC634" i="2"/>
  <c r="AC661" i="2" s="1"/>
  <c r="AB634" i="2"/>
  <c r="AB661" i="2" s="1"/>
  <c r="AA634" i="2"/>
  <c r="Z634" i="2"/>
  <c r="Y634" i="2"/>
  <c r="X634" i="2"/>
  <c r="X661" i="2" s="1"/>
  <c r="W634" i="2"/>
  <c r="W661" i="2" s="1"/>
  <c r="V634" i="2"/>
  <c r="V661" i="2" s="1"/>
  <c r="U634" i="2"/>
  <c r="U661" i="2" s="1"/>
  <c r="T634" i="2"/>
  <c r="S634" i="2"/>
  <c r="S661" i="2" s="1"/>
  <c r="R634" i="2"/>
  <c r="R661" i="2" s="1"/>
  <c r="Q634" i="2"/>
  <c r="Q661" i="2" s="1"/>
  <c r="P634" i="2"/>
  <c r="O634" i="2"/>
  <c r="N634" i="2"/>
  <c r="M634" i="2"/>
  <c r="M661" i="2" s="1"/>
  <c r="L634" i="2"/>
  <c r="L661" i="2" s="1"/>
  <c r="K634" i="2"/>
  <c r="K661" i="2" s="1"/>
  <c r="J634" i="2"/>
  <c r="I634" i="2"/>
  <c r="I661" i="2" s="1"/>
  <c r="H634" i="2"/>
  <c r="H661" i="2" s="1"/>
  <c r="G634" i="2"/>
  <c r="G661" i="2" s="1"/>
  <c r="F634" i="2"/>
  <c r="F661" i="2" s="1"/>
  <c r="E634" i="2"/>
  <c r="E661" i="2" s="1"/>
  <c r="D634" i="2"/>
  <c r="D661" i="2" s="1"/>
  <c r="C634" i="2"/>
  <c r="C661" i="2" s="1"/>
  <c r="A634" i="2"/>
  <c r="A633" i="2"/>
  <c r="A631" i="2"/>
  <c r="BG630" i="2"/>
  <c r="BF630" i="2"/>
  <c r="BE630" i="2"/>
  <c r="BD630" i="2"/>
  <c r="BC630" i="2"/>
  <c r="BB630" i="2"/>
  <c r="BA630" i="2"/>
  <c r="AZ630" i="2"/>
  <c r="AY630" i="2"/>
  <c r="AX630" i="2"/>
  <c r="AW630" i="2"/>
  <c r="AV630" i="2"/>
  <c r="AU630" i="2"/>
  <c r="AT630" i="2"/>
  <c r="AR630" i="2"/>
  <c r="AQ630" i="2"/>
  <c r="AP630" i="2"/>
  <c r="AO630" i="2"/>
  <c r="AM630" i="2"/>
  <c r="AL630" i="2"/>
  <c r="AK630" i="2"/>
  <c r="AJ630" i="2"/>
  <c r="AH630" i="2"/>
  <c r="AG630" i="2"/>
  <c r="AF630" i="2"/>
  <c r="AE630" i="2"/>
  <c r="AD630" i="2"/>
  <c r="AC630" i="2"/>
  <c r="AB630" i="2"/>
  <c r="AA630" i="2"/>
  <c r="Z630" i="2"/>
  <c r="Y630" i="2"/>
  <c r="X630" i="2"/>
  <c r="W630" i="2"/>
  <c r="V630" i="2"/>
  <c r="U630" i="2"/>
  <c r="T630" i="2"/>
  <c r="S630" i="2"/>
  <c r="R630" i="2"/>
  <c r="Q630" i="2"/>
  <c r="P630" i="2"/>
  <c r="O630" i="2"/>
  <c r="N630" i="2"/>
  <c r="M630" i="2"/>
  <c r="L630" i="2"/>
  <c r="K630" i="2"/>
  <c r="J630" i="2"/>
  <c r="I630" i="2"/>
  <c r="H630" i="2"/>
  <c r="G630" i="2"/>
  <c r="F630" i="2"/>
  <c r="E630" i="2"/>
  <c r="D630" i="2"/>
  <c r="C630" i="2"/>
  <c r="A630" i="2"/>
  <c r="BG629" i="2"/>
  <c r="BF629" i="2"/>
  <c r="BE629" i="2"/>
  <c r="BC629" i="2"/>
  <c r="BB629" i="2"/>
  <c r="BD629" i="2" s="1"/>
  <c r="BA629" i="2"/>
  <c r="AZ629" i="2"/>
  <c r="AY629" i="2"/>
  <c r="AX629" i="2"/>
  <c r="AW629" i="2"/>
  <c r="AV629" i="2"/>
  <c r="AU629" i="2"/>
  <c r="AT629" i="2"/>
  <c r="AR629" i="2"/>
  <c r="AQ629" i="2"/>
  <c r="AP629" i="2"/>
  <c r="AO629" i="2"/>
  <c r="AM629" i="2"/>
  <c r="AL629" i="2"/>
  <c r="AK629" i="2"/>
  <c r="AJ629" i="2"/>
  <c r="AH629" i="2"/>
  <c r="AG629" i="2"/>
  <c r="AF629" i="2"/>
  <c r="AE629" i="2"/>
  <c r="AC629" i="2"/>
  <c r="AB629" i="2"/>
  <c r="AA629" i="2"/>
  <c r="Z629" i="2"/>
  <c r="X629" i="2"/>
  <c r="W629" i="2"/>
  <c r="V629" i="2"/>
  <c r="U629" i="2"/>
  <c r="S629" i="2"/>
  <c r="R629" i="2"/>
  <c r="Q629" i="2"/>
  <c r="P629" i="2"/>
  <c r="N629" i="2"/>
  <c r="M629" i="2"/>
  <c r="L629" i="2"/>
  <c r="K629" i="2"/>
  <c r="I629" i="2"/>
  <c r="H629" i="2"/>
  <c r="G629" i="2"/>
  <c r="F629" i="2"/>
  <c r="E629" i="2"/>
  <c r="D629" i="2"/>
  <c r="C629" i="2"/>
  <c r="A629" i="2"/>
  <c r="BD628" i="2"/>
  <c r="AW628" i="2"/>
  <c r="AY628" i="2" s="1"/>
  <c r="AV628" i="2"/>
  <c r="AU628" i="2"/>
  <c r="AT628" i="2"/>
  <c r="AR628" i="2"/>
  <c r="AQ628" i="2"/>
  <c r="AP628" i="2"/>
  <c r="AO628" i="2"/>
  <c r="AM628" i="2"/>
  <c r="AL628" i="2"/>
  <c r="AK628" i="2"/>
  <c r="AJ628" i="2"/>
  <c r="AH628" i="2"/>
  <c r="AG628" i="2"/>
  <c r="AF628" i="2"/>
  <c r="AE628" i="2"/>
  <c r="AC628" i="2"/>
  <c r="AB628" i="2"/>
  <c r="AA628" i="2"/>
  <c r="Z628" i="2"/>
  <c r="X628" i="2"/>
  <c r="W628" i="2"/>
  <c r="V628" i="2"/>
  <c r="U628" i="2"/>
  <c r="S628" i="2"/>
  <c r="R628" i="2"/>
  <c r="Q628" i="2"/>
  <c r="P628" i="2"/>
  <c r="N628" i="2"/>
  <c r="M628" i="2"/>
  <c r="L628" i="2"/>
  <c r="K628" i="2"/>
  <c r="I628" i="2"/>
  <c r="H628" i="2"/>
  <c r="G628" i="2"/>
  <c r="F628" i="2"/>
  <c r="E628" i="2"/>
  <c r="D628" i="2"/>
  <c r="C628" i="2"/>
  <c r="A628" i="2"/>
  <c r="BD627" i="2"/>
  <c r="AW627" i="2"/>
  <c r="AV627" i="2"/>
  <c r="AU627" i="2"/>
  <c r="AY627" i="2" s="1"/>
  <c r="AT627" i="2"/>
  <c r="AT631" i="2" s="1"/>
  <c r="AR627" i="2"/>
  <c r="AQ627" i="2"/>
  <c r="AP627" i="2"/>
  <c r="AO627" i="2"/>
  <c r="AM627" i="2"/>
  <c r="AL627" i="2"/>
  <c r="AK627" i="2"/>
  <c r="AJ627" i="2"/>
  <c r="AH627" i="2"/>
  <c r="AH631" i="2" s="1"/>
  <c r="AG627" i="2"/>
  <c r="AF627" i="2"/>
  <c r="AE627" i="2"/>
  <c r="AC627" i="2"/>
  <c r="AB627" i="2"/>
  <c r="AA627" i="2"/>
  <c r="Z627" i="2"/>
  <c r="X627" i="2"/>
  <c r="W627" i="2"/>
  <c r="V627" i="2"/>
  <c r="V631" i="2" s="1"/>
  <c r="U627" i="2"/>
  <c r="S627" i="2"/>
  <c r="R627" i="2"/>
  <c r="Q627" i="2"/>
  <c r="P627" i="2"/>
  <c r="N627" i="2"/>
  <c r="M627" i="2"/>
  <c r="L627" i="2"/>
  <c r="K627" i="2"/>
  <c r="I627" i="2"/>
  <c r="H627" i="2"/>
  <c r="G627" i="2"/>
  <c r="F627" i="2"/>
  <c r="E627" i="2"/>
  <c r="D627" i="2"/>
  <c r="C627" i="2"/>
  <c r="A627" i="2"/>
  <c r="BD626" i="2"/>
  <c r="AW626" i="2"/>
  <c r="AV626" i="2"/>
  <c r="AY626" i="2" s="1"/>
  <c r="AU626" i="2"/>
  <c r="AT626" i="2"/>
  <c r="AR626" i="2"/>
  <c r="AQ626" i="2"/>
  <c r="AP626" i="2"/>
  <c r="AO626" i="2"/>
  <c r="AM626" i="2"/>
  <c r="AL626" i="2"/>
  <c r="AK626" i="2"/>
  <c r="AJ626" i="2"/>
  <c r="AH626" i="2"/>
  <c r="AG626" i="2"/>
  <c r="AF626" i="2"/>
  <c r="AE626" i="2"/>
  <c r="AC626" i="2"/>
  <c r="AB626" i="2"/>
  <c r="AA626" i="2"/>
  <c r="Z626" i="2"/>
  <c r="X626" i="2"/>
  <c r="W626" i="2"/>
  <c r="V626" i="2"/>
  <c r="U626" i="2"/>
  <c r="S626" i="2"/>
  <c r="R626" i="2"/>
  <c r="Q626" i="2"/>
  <c r="P626" i="2"/>
  <c r="N626" i="2"/>
  <c r="M626" i="2"/>
  <c r="L626" i="2"/>
  <c r="K626" i="2"/>
  <c r="I626" i="2"/>
  <c r="H626" i="2"/>
  <c r="G626" i="2"/>
  <c r="F626" i="2"/>
  <c r="E626" i="2"/>
  <c r="D626" i="2"/>
  <c r="C626" i="2"/>
  <c r="A626" i="2"/>
  <c r="BD625" i="2"/>
  <c r="AY625" i="2"/>
  <c r="AW625" i="2"/>
  <c r="AV625" i="2"/>
  <c r="AU625" i="2"/>
  <c r="AT625" i="2"/>
  <c r="AR625" i="2"/>
  <c r="AQ625" i="2"/>
  <c r="AP625" i="2"/>
  <c r="AO625" i="2"/>
  <c r="AM625" i="2"/>
  <c r="AL625" i="2"/>
  <c r="AK625" i="2"/>
  <c r="AJ625" i="2"/>
  <c r="AH625" i="2"/>
  <c r="AG625" i="2"/>
  <c r="AF625" i="2"/>
  <c r="AE625" i="2"/>
  <c r="AC625" i="2"/>
  <c r="AB625" i="2"/>
  <c r="AA625" i="2"/>
  <c r="Z625" i="2"/>
  <c r="X625" i="2"/>
  <c r="W625" i="2"/>
  <c r="V625" i="2"/>
  <c r="U625" i="2"/>
  <c r="S625" i="2"/>
  <c r="R625" i="2"/>
  <c r="Q625" i="2"/>
  <c r="P625" i="2"/>
  <c r="N625" i="2"/>
  <c r="M625" i="2"/>
  <c r="L625" i="2"/>
  <c r="K625" i="2"/>
  <c r="I625" i="2"/>
  <c r="H625" i="2"/>
  <c r="G625" i="2"/>
  <c r="F625" i="2"/>
  <c r="E625" i="2"/>
  <c r="D625" i="2"/>
  <c r="C625" i="2"/>
  <c r="A625" i="2"/>
  <c r="BD624" i="2"/>
  <c r="AW624" i="2"/>
  <c r="AV624" i="2"/>
  <c r="AU624" i="2"/>
  <c r="AY624" i="2" s="1"/>
  <c r="AT624" i="2"/>
  <c r="AS624" i="2"/>
  <c r="AR624" i="2"/>
  <c r="AQ624" i="2"/>
  <c r="AP624" i="2"/>
  <c r="AO624" i="2"/>
  <c r="AN624" i="2"/>
  <c r="AM624" i="2"/>
  <c r="AL624" i="2"/>
  <c r="AK624" i="2"/>
  <c r="AJ624" i="2"/>
  <c r="AI624" i="2"/>
  <c r="AH624" i="2"/>
  <c r="AG624" i="2"/>
  <c r="AF624" i="2"/>
  <c r="AE624" i="2"/>
  <c r="AD624" i="2"/>
  <c r="AC624" i="2"/>
  <c r="AB624" i="2"/>
  <c r="AA624" i="2"/>
  <c r="Z624" i="2"/>
  <c r="Y624" i="2"/>
  <c r="X624" i="2"/>
  <c r="W624" i="2"/>
  <c r="V624" i="2"/>
  <c r="U624" i="2"/>
  <c r="T624" i="2"/>
  <c r="S624" i="2"/>
  <c r="R624" i="2"/>
  <c r="Q624" i="2"/>
  <c r="P624" i="2"/>
  <c r="O624" i="2"/>
  <c r="N624" i="2"/>
  <c r="M624" i="2"/>
  <c r="L624" i="2"/>
  <c r="K624" i="2"/>
  <c r="J624" i="2"/>
  <c r="I624" i="2"/>
  <c r="H624" i="2"/>
  <c r="G624" i="2"/>
  <c r="F624" i="2"/>
  <c r="E624" i="2"/>
  <c r="D624" i="2"/>
  <c r="C624" i="2"/>
  <c r="A624" i="2"/>
  <c r="BD623" i="2"/>
  <c r="AW623" i="2"/>
  <c r="AV623" i="2"/>
  <c r="AU623" i="2"/>
  <c r="AY623" i="2" s="1"/>
  <c r="AT623" i="2"/>
  <c r="AS623" i="2"/>
  <c r="AR623" i="2"/>
  <c r="AQ623" i="2"/>
  <c r="AP623" i="2"/>
  <c r="AO623" i="2"/>
  <c r="AN623" i="2"/>
  <c r="AM623" i="2"/>
  <c r="AL623" i="2"/>
  <c r="AK623" i="2"/>
  <c r="AJ623" i="2"/>
  <c r="AI623" i="2"/>
  <c r="AH623" i="2"/>
  <c r="AG623" i="2"/>
  <c r="AF623" i="2"/>
  <c r="AE623" i="2"/>
  <c r="AD623" i="2"/>
  <c r="AC623" i="2"/>
  <c r="AB623" i="2"/>
  <c r="AA623" i="2"/>
  <c r="Z623" i="2"/>
  <c r="Y623" i="2"/>
  <c r="X623" i="2"/>
  <c r="W623" i="2"/>
  <c r="V623" i="2"/>
  <c r="U623" i="2"/>
  <c r="T623" i="2"/>
  <c r="S623" i="2"/>
  <c r="R623" i="2"/>
  <c r="Q623" i="2"/>
  <c r="P623" i="2"/>
  <c r="O623" i="2"/>
  <c r="N623" i="2"/>
  <c r="M623" i="2"/>
  <c r="L623" i="2"/>
  <c r="K623" i="2"/>
  <c r="J623" i="2"/>
  <c r="I623" i="2"/>
  <c r="H623" i="2"/>
  <c r="G623" i="2"/>
  <c r="F623" i="2"/>
  <c r="E623" i="2"/>
  <c r="D623" i="2"/>
  <c r="C623" i="2"/>
  <c r="A623" i="2"/>
  <c r="BD622" i="2"/>
  <c r="AW622" i="2"/>
  <c r="AV622" i="2"/>
  <c r="AY622" i="2" s="1"/>
  <c r="AU622" i="2"/>
  <c r="AT622" i="2"/>
  <c r="AR622" i="2"/>
  <c r="AQ622" i="2"/>
  <c r="AP622" i="2"/>
  <c r="AO622" i="2"/>
  <c r="AM622" i="2"/>
  <c r="AL622" i="2"/>
  <c r="AK622" i="2"/>
  <c r="AJ622" i="2"/>
  <c r="AI622" i="2"/>
  <c r="AH622" i="2"/>
  <c r="AG622" i="2"/>
  <c r="AF622" i="2"/>
  <c r="AE622" i="2"/>
  <c r="AD622" i="2"/>
  <c r="AC622" i="2"/>
  <c r="AB622" i="2"/>
  <c r="AA622" i="2"/>
  <c r="Z622" i="2"/>
  <c r="Y622" i="2"/>
  <c r="X622" i="2"/>
  <c r="W622" i="2"/>
  <c r="V622" i="2"/>
  <c r="U622" i="2"/>
  <c r="T622" i="2"/>
  <c r="S622" i="2"/>
  <c r="R622" i="2"/>
  <c r="Q622" i="2"/>
  <c r="P622" i="2"/>
  <c r="O622" i="2"/>
  <c r="N622" i="2"/>
  <c r="M622" i="2"/>
  <c r="L622" i="2"/>
  <c r="K622" i="2"/>
  <c r="J622" i="2"/>
  <c r="I622" i="2"/>
  <c r="H622" i="2"/>
  <c r="G622" i="2"/>
  <c r="F622" i="2"/>
  <c r="E622" i="2"/>
  <c r="D622" i="2"/>
  <c r="C622" i="2"/>
  <c r="A622" i="2"/>
  <c r="AW621" i="2"/>
  <c r="AW700" i="2" s="1"/>
  <c r="AV621" i="2"/>
  <c r="AV700" i="2" s="1"/>
  <c r="AU621" i="2"/>
  <c r="AU700" i="2" s="1"/>
  <c r="AT621" i="2"/>
  <c r="AT700" i="2" s="1"/>
  <c r="AR621" i="2"/>
  <c r="AR700" i="2" s="1"/>
  <c r="AQ621" i="2"/>
  <c r="AQ700" i="2" s="1"/>
  <c r="AP621" i="2"/>
  <c r="AP700" i="2" s="1"/>
  <c r="AO621" i="2"/>
  <c r="AO700" i="2" s="1"/>
  <c r="AM621" i="2"/>
  <c r="AM700" i="2" s="1"/>
  <c r="AL621" i="2"/>
  <c r="AL700" i="2" s="1"/>
  <c r="AK621" i="2"/>
  <c r="AK700" i="2" s="1"/>
  <c r="AJ621" i="2"/>
  <c r="AJ700" i="2" s="1"/>
  <c r="AI621" i="2"/>
  <c r="AI700" i="2" s="1"/>
  <c r="AH621" i="2"/>
  <c r="AH700" i="2" s="1"/>
  <c r="AG621" i="2"/>
  <c r="AG700" i="2" s="1"/>
  <c r="AF621" i="2"/>
  <c r="AF700" i="2" s="1"/>
  <c r="AE621" i="2"/>
  <c r="AE700" i="2" s="1"/>
  <c r="AD621" i="2"/>
  <c r="AD700" i="2" s="1"/>
  <c r="AC621" i="2"/>
  <c r="AC700" i="2" s="1"/>
  <c r="AB621" i="2"/>
  <c r="AB700" i="2" s="1"/>
  <c r="AA621" i="2"/>
  <c r="AA700" i="2" s="1"/>
  <c r="Z621" i="2"/>
  <c r="Y621" i="2"/>
  <c r="X621" i="2"/>
  <c r="W621" i="2"/>
  <c r="V621" i="2"/>
  <c r="U621" i="2"/>
  <c r="T621" i="2"/>
  <c r="S621" i="2"/>
  <c r="R621" i="2"/>
  <c r="Q621" i="2"/>
  <c r="P621" i="2"/>
  <c r="O621" i="2"/>
  <c r="N621" i="2"/>
  <c r="M621" i="2"/>
  <c r="L621" i="2"/>
  <c r="K621" i="2"/>
  <c r="J621" i="2"/>
  <c r="I621" i="2"/>
  <c r="H621" i="2"/>
  <c r="G621" i="2"/>
  <c r="F621" i="2"/>
  <c r="E621" i="2"/>
  <c r="D621" i="2"/>
  <c r="C621" i="2"/>
  <c r="A621" i="2"/>
  <c r="BG620" i="2"/>
  <c r="BG710" i="2" s="1"/>
  <c r="BF620" i="2"/>
  <c r="BF710" i="2" s="1"/>
  <c r="BE620" i="2"/>
  <c r="BE710" i="2" s="1"/>
  <c r="BC620" i="2"/>
  <c r="BC710" i="2" s="1"/>
  <c r="BB620" i="2"/>
  <c r="BB710" i="2" s="1"/>
  <c r="BA620" i="2"/>
  <c r="BA710" i="2" s="1"/>
  <c r="AZ620" i="2"/>
  <c r="AZ710" i="2" s="1"/>
  <c r="AX620" i="2"/>
  <c r="AX710" i="2" s="1"/>
  <c r="AW620" i="2"/>
  <c r="AV620" i="2"/>
  <c r="AU620" i="2"/>
  <c r="AY620" i="2" s="1"/>
  <c r="AT620" i="2"/>
  <c r="AR620" i="2"/>
  <c r="AQ620" i="2"/>
  <c r="AP620" i="2"/>
  <c r="AO620" i="2"/>
  <c r="AM620" i="2"/>
  <c r="AL620" i="2"/>
  <c r="AK620" i="2"/>
  <c r="AJ620" i="2"/>
  <c r="AH620" i="2"/>
  <c r="AG620" i="2"/>
  <c r="AF620" i="2"/>
  <c r="AE620" i="2"/>
  <c r="AC620" i="2"/>
  <c r="AB620" i="2"/>
  <c r="AA620" i="2"/>
  <c r="Z620" i="2"/>
  <c r="X620" i="2"/>
  <c r="W620" i="2"/>
  <c r="V620" i="2"/>
  <c r="U620" i="2"/>
  <c r="T620" i="2"/>
  <c r="S620" i="2"/>
  <c r="R620" i="2"/>
  <c r="Q620" i="2"/>
  <c r="P620" i="2"/>
  <c r="O620" i="2"/>
  <c r="N620" i="2"/>
  <c r="M620" i="2"/>
  <c r="L620" i="2"/>
  <c r="K620" i="2"/>
  <c r="J620" i="2"/>
  <c r="I620" i="2"/>
  <c r="H620" i="2"/>
  <c r="G620" i="2"/>
  <c r="F620" i="2"/>
  <c r="E620" i="2"/>
  <c r="D620" i="2"/>
  <c r="C620" i="2"/>
  <c r="A620" i="2"/>
  <c r="AW619" i="2"/>
  <c r="AW631" i="2" s="1"/>
  <c r="AV619" i="2"/>
  <c r="AV631" i="2" s="1"/>
  <c r="AU619" i="2"/>
  <c r="AU631" i="2" s="1"/>
  <c r="AT619" i="2"/>
  <c r="AR619" i="2"/>
  <c r="AQ619" i="2"/>
  <c r="AP619" i="2"/>
  <c r="AO619" i="2"/>
  <c r="AM619" i="2"/>
  <c r="AL619" i="2"/>
  <c r="AK619" i="2"/>
  <c r="AK631" i="2" s="1"/>
  <c r="AJ619" i="2"/>
  <c r="AJ631" i="2" s="1"/>
  <c r="AH619" i="2"/>
  <c r="AG619" i="2"/>
  <c r="AF619" i="2"/>
  <c r="AE619" i="2"/>
  <c r="AC619" i="2"/>
  <c r="AB619" i="2"/>
  <c r="AA619" i="2"/>
  <c r="Z619" i="2"/>
  <c r="X619" i="2"/>
  <c r="X631" i="2" s="1"/>
  <c r="W619" i="2"/>
  <c r="W631" i="2" s="1"/>
  <c r="V619" i="2"/>
  <c r="U619" i="2"/>
  <c r="S619" i="2"/>
  <c r="R619" i="2"/>
  <c r="Q619" i="2"/>
  <c r="P619" i="2"/>
  <c r="N619" i="2"/>
  <c r="M619" i="2"/>
  <c r="M631" i="2" s="1"/>
  <c r="L619" i="2"/>
  <c r="L631" i="2" s="1"/>
  <c r="K619" i="2"/>
  <c r="K631" i="2" s="1"/>
  <c r="I619" i="2"/>
  <c r="H619" i="2"/>
  <c r="G619" i="2"/>
  <c r="F619" i="2"/>
  <c r="E619" i="2"/>
  <c r="D619" i="2"/>
  <c r="C619" i="2"/>
  <c r="A619" i="2"/>
  <c r="A618" i="2"/>
  <c r="A616" i="2"/>
  <c r="BD615" i="2"/>
  <c r="AW615" i="2"/>
  <c r="AV615" i="2"/>
  <c r="AU615" i="2"/>
  <c r="AY615" i="2" s="1"/>
  <c r="AT615" i="2"/>
  <c r="AR615" i="2"/>
  <c r="AQ615" i="2"/>
  <c r="AP615" i="2"/>
  <c r="AO615" i="2"/>
  <c r="AM615" i="2"/>
  <c r="AL615" i="2"/>
  <c r="AK615" i="2"/>
  <c r="AJ615" i="2"/>
  <c r="AI615" i="2"/>
  <c r="AH615" i="2"/>
  <c r="AG615" i="2"/>
  <c r="AF615" i="2"/>
  <c r="AE615" i="2"/>
  <c r="AD615" i="2"/>
  <c r="AC615" i="2"/>
  <c r="AB615" i="2"/>
  <c r="AA615" i="2"/>
  <c r="Z615" i="2"/>
  <c r="Y615" i="2"/>
  <c r="X615" i="2"/>
  <c r="W615" i="2"/>
  <c r="V615" i="2"/>
  <c r="U615" i="2"/>
  <c r="T615" i="2"/>
  <c r="S615" i="2"/>
  <c r="R615" i="2"/>
  <c r="Q615" i="2"/>
  <c r="P615" i="2"/>
  <c r="O615" i="2"/>
  <c r="N615" i="2"/>
  <c r="M615" i="2"/>
  <c r="L615" i="2"/>
  <c r="K615" i="2"/>
  <c r="J615" i="2"/>
  <c r="I615" i="2"/>
  <c r="H615" i="2"/>
  <c r="G615" i="2"/>
  <c r="F615" i="2"/>
  <c r="E615" i="2"/>
  <c r="D615" i="2"/>
  <c r="C615" i="2"/>
  <c r="A615" i="2"/>
  <c r="BD614" i="2"/>
  <c r="AY614" i="2"/>
  <c r="AW614" i="2"/>
  <c r="AV614" i="2"/>
  <c r="AU614" i="2"/>
  <c r="AT614" i="2"/>
  <c r="AR614" i="2"/>
  <c r="AQ614" i="2"/>
  <c r="AP614" i="2"/>
  <c r="AO614" i="2"/>
  <c r="AM614" i="2"/>
  <c r="AL614" i="2"/>
  <c r="AK614" i="2"/>
  <c r="AJ614" i="2"/>
  <c r="AH614" i="2"/>
  <c r="AG614" i="2"/>
  <c r="AF614" i="2"/>
  <c r="AE614" i="2"/>
  <c r="AC614" i="2"/>
  <c r="AB614" i="2"/>
  <c r="AA614" i="2"/>
  <c r="Z614" i="2"/>
  <c r="X614" i="2"/>
  <c r="W614" i="2"/>
  <c r="V614" i="2"/>
  <c r="U614" i="2"/>
  <c r="S614" i="2"/>
  <c r="R614" i="2"/>
  <c r="Q614" i="2"/>
  <c r="P614" i="2"/>
  <c r="N614" i="2"/>
  <c r="M614" i="2"/>
  <c r="L614" i="2"/>
  <c r="K614" i="2"/>
  <c r="I614" i="2"/>
  <c r="H614" i="2"/>
  <c r="G614" i="2"/>
  <c r="F614" i="2"/>
  <c r="E614" i="2"/>
  <c r="D614" i="2"/>
  <c r="C614" i="2"/>
  <c r="A614" i="2"/>
  <c r="BD613" i="2"/>
  <c r="AW613" i="2"/>
  <c r="AV613" i="2"/>
  <c r="AY613" i="2" s="1"/>
  <c r="AU613" i="2"/>
  <c r="AT613" i="2"/>
  <c r="AR613" i="2"/>
  <c r="AQ613" i="2"/>
  <c r="AP613" i="2"/>
  <c r="AO613" i="2"/>
  <c r="AM613" i="2"/>
  <c r="AL613" i="2"/>
  <c r="AK613" i="2"/>
  <c r="AJ613" i="2"/>
  <c r="AH613" i="2"/>
  <c r="AG613" i="2"/>
  <c r="AF613" i="2"/>
  <c r="AE613" i="2"/>
  <c r="AC613" i="2"/>
  <c r="AB613" i="2"/>
  <c r="AA613" i="2"/>
  <c r="Z613" i="2"/>
  <c r="X613" i="2"/>
  <c r="W613" i="2"/>
  <c r="V613" i="2"/>
  <c r="U613" i="2"/>
  <c r="S613" i="2"/>
  <c r="R613" i="2"/>
  <c r="Q613" i="2"/>
  <c r="P613" i="2"/>
  <c r="N613" i="2"/>
  <c r="M613" i="2"/>
  <c r="L613" i="2"/>
  <c r="K613" i="2"/>
  <c r="I613" i="2"/>
  <c r="H613" i="2"/>
  <c r="G613" i="2"/>
  <c r="F613" i="2"/>
  <c r="E613" i="2"/>
  <c r="D613" i="2"/>
  <c r="C613" i="2"/>
  <c r="A613" i="2"/>
  <c r="AW612" i="2"/>
  <c r="AV612" i="2"/>
  <c r="AU612" i="2"/>
  <c r="AT612" i="2"/>
  <c r="AR612" i="2"/>
  <c r="AQ612" i="2"/>
  <c r="AP612" i="2"/>
  <c r="AO612" i="2"/>
  <c r="AM612" i="2"/>
  <c r="AL612" i="2"/>
  <c r="AK612" i="2"/>
  <c r="AJ612" i="2"/>
  <c r="AH612" i="2"/>
  <c r="AG612" i="2"/>
  <c r="AF612" i="2"/>
  <c r="AE612" i="2"/>
  <c r="AC612" i="2"/>
  <c r="AB612" i="2"/>
  <c r="AA612" i="2"/>
  <c r="Z612" i="2"/>
  <c r="X612" i="2"/>
  <c r="W612" i="2"/>
  <c r="V612" i="2"/>
  <c r="U612" i="2"/>
  <c r="S612" i="2"/>
  <c r="R612" i="2"/>
  <c r="Q612" i="2"/>
  <c r="P612" i="2"/>
  <c r="N612" i="2"/>
  <c r="M612" i="2"/>
  <c r="L612" i="2"/>
  <c r="K612" i="2"/>
  <c r="I612" i="2"/>
  <c r="H612" i="2"/>
  <c r="G612" i="2"/>
  <c r="F612" i="2"/>
  <c r="E612" i="2"/>
  <c r="D612" i="2"/>
  <c r="C612" i="2"/>
  <c r="A612" i="2"/>
  <c r="AW611" i="2"/>
  <c r="AV611" i="2"/>
  <c r="AU611" i="2"/>
  <c r="AT611" i="2"/>
  <c r="AR611" i="2"/>
  <c r="AQ611" i="2"/>
  <c r="AP611" i="2"/>
  <c r="AO611" i="2"/>
  <c r="AM611" i="2"/>
  <c r="AL611" i="2"/>
  <c r="AK611" i="2"/>
  <c r="AJ611" i="2"/>
  <c r="AH611" i="2"/>
  <c r="AG611" i="2"/>
  <c r="AF611" i="2"/>
  <c r="AE611" i="2"/>
  <c r="AC611" i="2"/>
  <c r="AB611" i="2"/>
  <c r="AA611" i="2"/>
  <c r="Z611" i="2"/>
  <c r="X611" i="2"/>
  <c r="W611" i="2"/>
  <c r="V611" i="2"/>
  <c r="U611" i="2"/>
  <c r="S611" i="2"/>
  <c r="R611" i="2"/>
  <c r="Q611" i="2"/>
  <c r="P611" i="2"/>
  <c r="N611" i="2"/>
  <c r="M611" i="2"/>
  <c r="L611" i="2"/>
  <c r="K611" i="2"/>
  <c r="I611" i="2"/>
  <c r="H611" i="2"/>
  <c r="G611" i="2"/>
  <c r="F611" i="2"/>
  <c r="E611" i="2"/>
  <c r="D611" i="2"/>
  <c r="C611" i="2"/>
  <c r="A611" i="2"/>
  <c r="BD610" i="2"/>
  <c r="AY610" i="2"/>
  <c r="AW610" i="2"/>
  <c r="AV610" i="2"/>
  <c r="AU610" i="2"/>
  <c r="AT610" i="2"/>
  <c r="AR610" i="2"/>
  <c r="AQ610" i="2"/>
  <c r="AP610" i="2"/>
  <c r="AO610" i="2"/>
  <c r="AM610" i="2"/>
  <c r="AL610" i="2"/>
  <c r="AK610" i="2"/>
  <c r="AJ610" i="2"/>
  <c r="AH610" i="2"/>
  <c r="AG610" i="2"/>
  <c r="AF610" i="2"/>
  <c r="AE610" i="2"/>
  <c r="AC610" i="2"/>
  <c r="AB610" i="2"/>
  <c r="AA610" i="2"/>
  <c r="Z610" i="2"/>
  <c r="X610" i="2"/>
  <c r="W610" i="2"/>
  <c r="V610" i="2"/>
  <c r="U610" i="2"/>
  <c r="S610" i="2"/>
  <c r="R610" i="2"/>
  <c r="Q610" i="2"/>
  <c r="P610" i="2"/>
  <c r="N610" i="2"/>
  <c r="M610" i="2"/>
  <c r="L610" i="2"/>
  <c r="K610" i="2"/>
  <c r="I610" i="2"/>
  <c r="H610" i="2"/>
  <c r="G610" i="2"/>
  <c r="F610" i="2"/>
  <c r="E610" i="2"/>
  <c r="D610" i="2"/>
  <c r="C610" i="2"/>
  <c r="A610" i="2"/>
  <c r="BD609" i="2"/>
  <c r="AW609" i="2"/>
  <c r="AV609" i="2"/>
  <c r="AY609" i="2" s="1"/>
  <c r="AU609" i="2"/>
  <c r="AT609" i="2"/>
  <c r="AR609" i="2"/>
  <c r="AQ609" i="2"/>
  <c r="AP609" i="2"/>
  <c r="AO609" i="2"/>
  <c r="AM609" i="2"/>
  <c r="AL609" i="2"/>
  <c r="AK609" i="2"/>
  <c r="AJ609" i="2"/>
  <c r="AH609" i="2"/>
  <c r="AG609" i="2"/>
  <c r="AF609" i="2"/>
  <c r="AE609" i="2"/>
  <c r="AC609" i="2"/>
  <c r="AB609" i="2"/>
  <c r="AA609" i="2"/>
  <c r="Z609" i="2"/>
  <c r="X609" i="2"/>
  <c r="W609" i="2"/>
  <c r="V609" i="2"/>
  <c r="U609" i="2"/>
  <c r="S609" i="2"/>
  <c r="R609" i="2"/>
  <c r="Q609" i="2"/>
  <c r="P609" i="2"/>
  <c r="N609" i="2"/>
  <c r="L609" i="2"/>
  <c r="K609" i="2"/>
  <c r="I609" i="2"/>
  <c r="H609" i="2"/>
  <c r="G609" i="2"/>
  <c r="F609" i="2"/>
  <c r="E609" i="2"/>
  <c r="D609" i="2"/>
  <c r="C609" i="2"/>
  <c r="A609" i="2"/>
  <c r="AW608" i="2"/>
  <c r="AV608" i="2"/>
  <c r="AU608" i="2"/>
  <c r="AT608" i="2"/>
  <c r="AR608" i="2"/>
  <c r="AQ608" i="2"/>
  <c r="AP608" i="2"/>
  <c r="AO608" i="2"/>
  <c r="AM608" i="2"/>
  <c r="AL608" i="2"/>
  <c r="AK608" i="2"/>
  <c r="AJ608" i="2"/>
  <c r="AH608" i="2"/>
  <c r="AG608" i="2"/>
  <c r="AF608" i="2"/>
  <c r="AE608" i="2"/>
  <c r="AC608" i="2"/>
  <c r="AB608" i="2"/>
  <c r="AA608" i="2"/>
  <c r="Z608" i="2"/>
  <c r="X608" i="2"/>
  <c r="W608" i="2"/>
  <c r="V608" i="2"/>
  <c r="U608" i="2"/>
  <c r="S608" i="2"/>
  <c r="R608" i="2"/>
  <c r="Q608" i="2"/>
  <c r="P608" i="2"/>
  <c r="N608" i="2"/>
  <c r="M608" i="2"/>
  <c r="L608" i="2"/>
  <c r="K608" i="2"/>
  <c r="I608" i="2"/>
  <c r="H608" i="2"/>
  <c r="G608" i="2"/>
  <c r="F608" i="2"/>
  <c r="E608" i="2"/>
  <c r="D608" i="2"/>
  <c r="C608" i="2"/>
  <c r="A608" i="2"/>
  <c r="BD607" i="2"/>
  <c r="AW607" i="2"/>
  <c r="AV607" i="2"/>
  <c r="AU607" i="2"/>
  <c r="AY607" i="2" s="1"/>
  <c r="AT607" i="2"/>
  <c r="AR607" i="2"/>
  <c r="AQ607" i="2"/>
  <c r="AP607" i="2"/>
  <c r="AO607" i="2"/>
  <c r="AM607" i="2"/>
  <c r="AL607" i="2"/>
  <c r="AK607" i="2"/>
  <c r="AJ607" i="2"/>
  <c r="AH607" i="2"/>
  <c r="AG607" i="2"/>
  <c r="AF607" i="2"/>
  <c r="AE607" i="2"/>
  <c r="AC607" i="2"/>
  <c r="AB607" i="2"/>
  <c r="AA607" i="2"/>
  <c r="Z607" i="2"/>
  <c r="X607" i="2"/>
  <c r="W607" i="2"/>
  <c r="V607" i="2"/>
  <c r="U607" i="2"/>
  <c r="S607" i="2"/>
  <c r="R607" i="2"/>
  <c r="Q607" i="2"/>
  <c r="P607" i="2"/>
  <c r="N607" i="2"/>
  <c r="M607" i="2"/>
  <c r="L607" i="2"/>
  <c r="K607" i="2"/>
  <c r="I607" i="2"/>
  <c r="H607" i="2"/>
  <c r="G607" i="2"/>
  <c r="F607" i="2"/>
  <c r="E607" i="2"/>
  <c r="D607" i="2"/>
  <c r="C607" i="2"/>
  <c r="A607" i="2"/>
  <c r="BD606" i="2"/>
  <c r="AY606" i="2"/>
  <c r="AW606" i="2"/>
  <c r="AV606" i="2"/>
  <c r="AU606" i="2"/>
  <c r="AT606" i="2"/>
  <c r="AR606" i="2"/>
  <c r="AQ606" i="2"/>
  <c r="AP606" i="2"/>
  <c r="AO606" i="2"/>
  <c r="AM606" i="2"/>
  <c r="AL606" i="2"/>
  <c r="AK606" i="2"/>
  <c r="AJ606" i="2"/>
  <c r="AH606" i="2"/>
  <c r="AG606" i="2"/>
  <c r="AF606" i="2"/>
  <c r="AE606" i="2"/>
  <c r="AC606" i="2"/>
  <c r="AB606" i="2"/>
  <c r="AA606" i="2"/>
  <c r="Z606" i="2"/>
  <c r="X606" i="2"/>
  <c r="W606" i="2"/>
  <c r="V606" i="2"/>
  <c r="U606" i="2"/>
  <c r="T606" i="2"/>
  <c r="S606" i="2"/>
  <c r="R606" i="2"/>
  <c r="Q606" i="2"/>
  <c r="P606" i="2"/>
  <c r="O606" i="2"/>
  <c r="N606" i="2"/>
  <c r="M606" i="2"/>
  <c r="L606" i="2"/>
  <c r="K606" i="2"/>
  <c r="J606" i="2"/>
  <c r="I606" i="2"/>
  <c r="H606" i="2"/>
  <c r="G606" i="2"/>
  <c r="F606" i="2"/>
  <c r="E606" i="2"/>
  <c r="D606" i="2"/>
  <c r="C606" i="2"/>
  <c r="A606" i="2"/>
  <c r="AW605" i="2"/>
  <c r="AV605" i="2"/>
  <c r="AU605" i="2"/>
  <c r="AT605" i="2"/>
  <c r="AR605" i="2"/>
  <c r="AQ605" i="2"/>
  <c r="AP605" i="2"/>
  <c r="AO605" i="2"/>
  <c r="AM605" i="2"/>
  <c r="AL605" i="2"/>
  <c r="AK605" i="2"/>
  <c r="AJ605" i="2"/>
  <c r="AH605" i="2"/>
  <c r="AG605" i="2"/>
  <c r="AF605" i="2"/>
  <c r="AE605" i="2"/>
  <c r="AC605" i="2"/>
  <c r="AB605" i="2"/>
  <c r="AA605" i="2"/>
  <c r="Z605" i="2"/>
  <c r="X605" i="2"/>
  <c r="W605" i="2"/>
  <c r="V605" i="2"/>
  <c r="U605" i="2"/>
  <c r="S605" i="2"/>
  <c r="R605" i="2"/>
  <c r="Q605" i="2"/>
  <c r="P605" i="2"/>
  <c r="N605" i="2"/>
  <c r="M605" i="2"/>
  <c r="L605" i="2"/>
  <c r="K605" i="2"/>
  <c r="I605" i="2"/>
  <c r="H605" i="2"/>
  <c r="G605" i="2"/>
  <c r="F605" i="2"/>
  <c r="E605" i="2"/>
  <c r="D605" i="2"/>
  <c r="C605" i="2"/>
  <c r="A605" i="2"/>
  <c r="Z604" i="2"/>
  <c r="X604" i="2"/>
  <c r="W604" i="2"/>
  <c r="V604" i="2"/>
  <c r="U604" i="2"/>
  <c r="S604" i="2"/>
  <c r="R604" i="2"/>
  <c r="Q604" i="2"/>
  <c r="P604" i="2"/>
  <c r="N604" i="2"/>
  <c r="M604" i="2"/>
  <c r="L604" i="2"/>
  <c r="K604" i="2"/>
  <c r="I604" i="2"/>
  <c r="H604" i="2"/>
  <c r="G604" i="2"/>
  <c r="F604" i="2"/>
  <c r="E604" i="2"/>
  <c r="D604" i="2"/>
  <c r="C604" i="2"/>
  <c r="A604" i="2"/>
  <c r="AW603" i="2"/>
  <c r="AV603" i="2"/>
  <c r="AU603" i="2"/>
  <c r="AT603" i="2"/>
  <c r="AR603" i="2"/>
  <c r="AQ603" i="2"/>
  <c r="AP603" i="2"/>
  <c r="AO603" i="2"/>
  <c r="AM603" i="2"/>
  <c r="AL603" i="2"/>
  <c r="AK603" i="2"/>
  <c r="AJ603" i="2"/>
  <c r="AH603" i="2"/>
  <c r="AG603" i="2"/>
  <c r="AF603" i="2"/>
  <c r="AE603" i="2"/>
  <c r="AC603" i="2"/>
  <c r="AB603" i="2"/>
  <c r="AA603" i="2"/>
  <c r="Z603" i="2"/>
  <c r="Y603" i="2"/>
  <c r="X603" i="2"/>
  <c r="W603" i="2"/>
  <c r="V603" i="2"/>
  <c r="U603" i="2"/>
  <c r="T603" i="2"/>
  <c r="S603" i="2"/>
  <c r="R603" i="2"/>
  <c r="Q603" i="2"/>
  <c r="P603" i="2"/>
  <c r="O603" i="2"/>
  <c r="N603" i="2"/>
  <c r="M603" i="2"/>
  <c r="L603" i="2"/>
  <c r="K603" i="2"/>
  <c r="J603" i="2"/>
  <c r="I603" i="2"/>
  <c r="H603" i="2"/>
  <c r="G603" i="2"/>
  <c r="F603" i="2"/>
  <c r="E603" i="2"/>
  <c r="D603" i="2"/>
  <c r="C603" i="2"/>
  <c r="A603" i="2"/>
  <c r="AW602" i="2"/>
  <c r="AV602" i="2"/>
  <c r="AU602" i="2"/>
  <c r="AT602" i="2"/>
  <c r="AR602" i="2"/>
  <c r="AQ602" i="2"/>
  <c r="AP602" i="2"/>
  <c r="AO602" i="2"/>
  <c r="AM602" i="2"/>
  <c r="AL602" i="2"/>
  <c r="AK602" i="2"/>
  <c r="AJ602" i="2"/>
  <c r="AH602" i="2"/>
  <c r="AG602" i="2"/>
  <c r="AF602" i="2"/>
  <c r="AE602" i="2"/>
  <c r="AC602" i="2"/>
  <c r="AB602" i="2"/>
  <c r="AA602" i="2"/>
  <c r="Z602" i="2"/>
  <c r="Y602" i="2"/>
  <c r="X602" i="2"/>
  <c r="W602" i="2"/>
  <c r="V602" i="2"/>
  <c r="U602" i="2"/>
  <c r="T602" i="2"/>
  <c r="S602" i="2"/>
  <c r="R602" i="2"/>
  <c r="Q602" i="2"/>
  <c r="P602" i="2"/>
  <c r="O602" i="2"/>
  <c r="N602" i="2"/>
  <c r="M602" i="2"/>
  <c r="L602" i="2"/>
  <c r="K602" i="2"/>
  <c r="J602" i="2"/>
  <c r="I602" i="2"/>
  <c r="H602" i="2"/>
  <c r="G602" i="2"/>
  <c r="F602" i="2"/>
  <c r="E602" i="2"/>
  <c r="D602" i="2"/>
  <c r="C602" i="2"/>
  <c r="A602" i="2"/>
  <c r="AW601" i="2"/>
  <c r="AV601" i="2"/>
  <c r="AU601" i="2"/>
  <c r="AT601" i="2"/>
  <c r="AR601" i="2"/>
  <c r="AQ601" i="2"/>
  <c r="AP601" i="2"/>
  <c r="AO601" i="2"/>
  <c r="AM601" i="2"/>
  <c r="AL601" i="2"/>
  <c r="AK601" i="2"/>
  <c r="AJ601" i="2"/>
  <c r="AH601" i="2"/>
  <c r="AG601" i="2"/>
  <c r="AF601" i="2"/>
  <c r="AE601" i="2"/>
  <c r="AC601" i="2"/>
  <c r="AB601" i="2"/>
  <c r="AA601" i="2"/>
  <c r="Z601" i="2"/>
  <c r="X601" i="2"/>
  <c r="W601" i="2"/>
  <c r="V601" i="2"/>
  <c r="U601" i="2"/>
  <c r="S601" i="2"/>
  <c r="R601" i="2"/>
  <c r="Q601" i="2"/>
  <c r="P601" i="2"/>
  <c r="N601" i="2"/>
  <c r="M601" i="2"/>
  <c r="L601" i="2"/>
  <c r="K601" i="2"/>
  <c r="I601" i="2"/>
  <c r="H601" i="2"/>
  <c r="G601" i="2"/>
  <c r="F601" i="2"/>
  <c r="E601" i="2"/>
  <c r="D601" i="2"/>
  <c r="C601" i="2"/>
  <c r="A601" i="2"/>
  <c r="A600" i="2"/>
  <c r="BD599" i="2"/>
  <c r="AW599" i="2"/>
  <c r="AV599" i="2"/>
  <c r="AU599" i="2"/>
  <c r="AY599" i="2" s="1"/>
  <c r="AT599" i="2"/>
  <c r="AR599" i="2"/>
  <c r="AQ599" i="2"/>
  <c r="AP599" i="2"/>
  <c r="AO599" i="2"/>
  <c r="AM599" i="2"/>
  <c r="AL599" i="2"/>
  <c r="AK599" i="2"/>
  <c r="AJ599" i="2"/>
  <c r="AH599" i="2"/>
  <c r="AG599" i="2"/>
  <c r="AF599" i="2"/>
  <c r="AE599" i="2"/>
  <c r="AC599" i="2"/>
  <c r="AB599" i="2"/>
  <c r="AA599" i="2"/>
  <c r="Z599" i="2"/>
  <c r="X599" i="2"/>
  <c r="W599" i="2"/>
  <c r="V599" i="2"/>
  <c r="U599" i="2"/>
  <c r="S599" i="2"/>
  <c r="R599" i="2"/>
  <c r="Q599" i="2"/>
  <c r="P599" i="2"/>
  <c r="N599" i="2"/>
  <c r="M599" i="2"/>
  <c r="L599" i="2"/>
  <c r="K599" i="2"/>
  <c r="I599" i="2"/>
  <c r="H599" i="2"/>
  <c r="G599" i="2"/>
  <c r="F599" i="2"/>
  <c r="E599" i="2"/>
  <c r="D599" i="2"/>
  <c r="C599" i="2"/>
  <c r="A599" i="2"/>
  <c r="AW598" i="2"/>
  <c r="AV598" i="2"/>
  <c r="AU598" i="2"/>
  <c r="AT598" i="2"/>
  <c r="AR598" i="2"/>
  <c r="AQ598" i="2"/>
  <c r="AP598" i="2"/>
  <c r="AO598" i="2"/>
  <c r="AM598" i="2"/>
  <c r="AL598" i="2"/>
  <c r="AK598" i="2"/>
  <c r="AJ598" i="2"/>
  <c r="AH598" i="2"/>
  <c r="AG598" i="2"/>
  <c r="AF598" i="2"/>
  <c r="AE598" i="2"/>
  <c r="AD598" i="2"/>
  <c r="AC598" i="2"/>
  <c r="AB598" i="2"/>
  <c r="AA598" i="2"/>
  <c r="Z598" i="2"/>
  <c r="Y598" i="2"/>
  <c r="X598" i="2"/>
  <c r="W598" i="2"/>
  <c r="V598" i="2"/>
  <c r="U598" i="2"/>
  <c r="T598" i="2"/>
  <c r="S598" i="2"/>
  <c r="R598" i="2"/>
  <c r="Q598" i="2"/>
  <c r="P598" i="2"/>
  <c r="O598" i="2"/>
  <c r="N598" i="2"/>
  <c r="M598" i="2"/>
  <c r="L598" i="2"/>
  <c r="K598" i="2"/>
  <c r="J598" i="2"/>
  <c r="I598" i="2"/>
  <c r="H598" i="2"/>
  <c r="G598" i="2"/>
  <c r="F598" i="2"/>
  <c r="E598" i="2"/>
  <c r="D598" i="2"/>
  <c r="C598" i="2"/>
  <c r="A598" i="2"/>
  <c r="BD597" i="2"/>
  <c r="AY597" i="2"/>
  <c r="AW597" i="2"/>
  <c r="AV597" i="2"/>
  <c r="AU597" i="2"/>
  <c r="AT597" i="2"/>
  <c r="AS597" i="2"/>
  <c r="AR597" i="2"/>
  <c r="AQ597" i="2"/>
  <c r="AP597" i="2"/>
  <c r="AO597" i="2"/>
  <c r="AN597" i="2"/>
  <c r="AM597" i="2"/>
  <c r="AL597" i="2"/>
  <c r="AK597" i="2"/>
  <c r="AJ597" i="2"/>
  <c r="AI597" i="2"/>
  <c r="AH597" i="2"/>
  <c r="AG597" i="2"/>
  <c r="AF597" i="2"/>
  <c r="AE597" i="2"/>
  <c r="AD597" i="2"/>
  <c r="AC597" i="2"/>
  <c r="AB597" i="2"/>
  <c r="AA597" i="2"/>
  <c r="Z597" i="2"/>
  <c r="Y597" i="2"/>
  <c r="X597" i="2"/>
  <c r="W597" i="2"/>
  <c r="V597" i="2"/>
  <c r="U597" i="2"/>
  <c r="T597" i="2"/>
  <c r="S597" i="2"/>
  <c r="R597" i="2"/>
  <c r="Q597" i="2"/>
  <c r="P597" i="2"/>
  <c r="O597" i="2"/>
  <c r="N597" i="2"/>
  <c r="M597" i="2"/>
  <c r="L597" i="2"/>
  <c r="K597" i="2"/>
  <c r="J597" i="2"/>
  <c r="I597" i="2"/>
  <c r="H597" i="2"/>
  <c r="G597" i="2"/>
  <c r="F597" i="2"/>
  <c r="E597" i="2"/>
  <c r="D597" i="2"/>
  <c r="C597" i="2"/>
  <c r="A597" i="2"/>
  <c r="BD596" i="2"/>
  <c r="AY596" i="2"/>
  <c r="AT596" i="2"/>
  <c r="AO596" i="2"/>
  <c r="AM596" i="2"/>
  <c r="AJ596" i="2"/>
  <c r="AH596" i="2"/>
  <c r="AG596" i="2"/>
  <c r="AF596" i="2"/>
  <c r="AE596" i="2"/>
  <c r="AC596" i="2"/>
  <c r="AB596" i="2"/>
  <c r="AA596" i="2"/>
  <c r="Z596" i="2"/>
  <c r="X596" i="2"/>
  <c r="W596" i="2"/>
  <c r="V596" i="2"/>
  <c r="U596" i="2"/>
  <c r="S596" i="2"/>
  <c r="R596" i="2"/>
  <c r="Q596" i="2"/>
  <c r="P596" i="2"/>
  <c r="N596" i="2"/>
  <c r="M596" i="2"/>
  <c r="L596" i="2"/>
  <c r="K596" i="2"/>
  <c r="I596" i="2"/>
  <c r="H596" i="2"/>
  <c r="G596" i="2"/>
  <c r="F596" i="2"/>
  <c r="E596" i="2"/>
  <c r="D596" i="2"/>
  <c r="C596" i="2"/>
  <c r="A596" i="2"/>
  <c r="BD595" i="2"/>
  <c r="AW595" i="2"/>
  <c r="AV595" i="2"/>
  <c r="AU595" i="2"/>
  <c r="AY595" i="2" s="1"/>
  <c r="AT595" i="2"/>
  <c r="AR595" i="2"/>
  <c r="AQ595" i="2"/>
  <c r="AP595" i="2"/>
  <c r="AO595" i="2"/>
  <c r="AM595" i="2"/>
  <c r="AL595" i="2"/>
  <c r="AK595" i="2"/>
  <c r="AJ595" i="2"/>
  <c r="AH595" i="2"/>
  <c r="AG595" i="2"/>
  <c r="AF595" i="2"/>
  <c r="AE595" i="2"/>
  <c r="AC595" i="2"/>
  <c r="AB595" i="2"/>
  <c r="AA595" i="2"/>
  <c r="Z595" i="2"/>
  <c r="X595" i="2"/>
  <c r="W595" i="2"/>
  <c r="V595" i="2"/>
  <c r="U595" i="2"/>
  <c r="S595" i="2"/>
  <c r="R595" i="2"/>
  <c r="Q595" i="2"/>
  <c r="P595" i="2"/>
  <c r="N595" i="2"/>
  <c r="M595" i="2"/>
  <c r="L595" i="2"/>
  <c r="K595" i="2"/>
  <c r="I595" i="2"/>
  <c r="H595" i="2"/>
  <c r="G595" i="2"/>
  <c r="F595" i="2"/>
  <c r="E595" i="2"/>
  <c r="D595" i="2"/>
  <c r="C595" i="2"/>
  <c r="A595" i="2"/>
  <c r="BD594" i="2"/>
  <c r="AW594" i="2"/>
  <c r="AV594" i="2"/>
  <c r="AY594" i="2" s="1"/>
  <c r="AU594" i="2"/>
  <c r="AT594" i="2"/>
  <c r="AR594" i="2"/>
  <c r="AQ594" i="2"/>
  <c r="AP594" i="2"/>
  <c r="AO594" i="2"/>
  <c r="AM594" i="2"/>
  <c r="AL594" i="2"/>
  <c r="AK594" i="2"/>
  <c r="AJ594" i="2"/>
  <c r="AH594" i="2"/>
  <c r="AG594" i="2"/>
  <c r="AF594" i="2"/>
  <c r="AE594" i="2"/>
  <c r="AC594" i="2"/>
  <c r="AB594" i="2"/>
  <c r="AA594" i="2"/>
  <c r="Z594" i="2"/>
  <c r="X594" i="2"/>
  <c r="W594" i="2"/>
  <c r="V594" i="2"/>
  <c r="U594" i="2"/>
  <c r="S594" i="2"/>
  <c r="R594" i="2"/>
  <c r="Q594" i="2"/>
  <c r="P594" i="2"/>
  <c r="N594" i="2"/>
  <c r="M594" i="2"/>
  <c r="L594" i="2"/>
  <c r="K594" i="2"/>
  <c r="I594" i="2"/>
  <c r="H594" i="2"/>
  <c r="G594" i="2"/>
  <c r="F594" i="2"/>
  <c r="E594" i="2"/>
  <c r="D594" i="2"/>
  <c r="C594" i="2"/>
  <c r="A594" i="2"/>
  <c r="BD593" i="2"/>
  <c r="AW593" i="2"/>
  <c r="AW600" i="2" s="1"/>
  <c r="A593" i="2"/>
  <c r="BD592" i="2"/>
  <c r="AU592" i="2"/>
  <c r="AY592" i="2" s="1"/>
  <c r="AT592" i="2"/>
  <c r="AR592" i="2"/>
  <c r="AQ592" i="2"/>
  <c r="AP592" i="2"/>
  <c r="AO592" i="2"/>
  <c r="AM592" i="2"/>
  <c r="AL592" i="2"/>
  <c r="AK592" i="2"/>
  <c r="AJ592" i="2"/>
  <c r="AH592" i="2"/>
  <c r="AG592" i="2"/>
  <c r="AF592" i="2"/>
  <c r="AE592" i="2"/>
  <c r="AC592" i="2"/>
  <c r="AB592" i="2"/>
  <c r="AA592" i="2"/>
  <c r="Z592" i="2"/>
  <c r="X592" i="2"/>
  <c r="W592" i="2"/>
  <c r="V592" i="2"/>
  <c r="U592" i="2"/>
  <c r="S592" i="2"/>
  <c r="R592" i="2"/>
  <c r="Q592" i="2"/>
  <c r="P592" i="2"/>
  <c r="N592" i="2"/>
  <c r="M592" i="2"/>
  <c r="L592" i="2"/>
  <c r="K592" i="2"/>
  <c r="I592" i="2"/>
  <c r="H592" i="2"/>
  <c r="G592" i="2"/>
  <c r="F592" i="2"/>
  <c r="E592" i="2"/>
  <c r="D592" i="2"/>
  <c r="C592" i="2"/>
  <c r="A592" i="2"/>
  <c r="BD591" i="2"/>
  <c r="AU591" i="2"/>
  <c r="AY591" i="2" s="1"/>
  <c r="AT591" i="2"/>
  <c r="AR591" i="2"/>
  <c r="AQ591" i="2"/>
  <c r="AP591" i="2"/>
  <c r="AO591" i="2"/>
  <c r="AM591" i="2"/>
  <c r="AL591" i="2"/>
  <c r="AK591" i="2"/>
  <c r="AJ591" i="2"/>
  <c r="AH591" i="2"/>
  <c r="AG591" i="2"/>
  <c r="AF591" i="2"/>
  <c r="AE591" i="2"/>
  <c r="AC591" i="2"/>
  <c r="AB591" i="2"/>
  <c r="AA591" i="2"/>
  <c r="Z591" i="2"/>
  <c r="Z593" i="2" s="1"/>
  <c r="Z600" i="2" s="1"/>
  <c r="X591" i="2"/>
  <c r="W591" i="2"/>
  <c r="V591" i="2"/>
  <c r="U591" i="2"/>
  <c r="S591" i="2"/>
  <c r="R591" i="2"/>
  <c r="Q591" i="2"/>
  <c r="P591" i="2"/>
  <c r="N591" i="2"/>
  <c r="M591" i="2"/>
  <c r="L591" i="2"/>
  <c r="K591" i="2"/>
  <c r="I591" i="2"/>
  <c r="H591" i="2"/>
  <c r="G591" i="2"/>
  <c r="F591" i="2"/>
  <c r="E591" i="2"/>
  <c r="D591" i="2"/>
  <c r="C591" i="2"/>
  <c r="A591" i="2"/>
  <c r="BD590" i="2"/>
  <c r="AU590" i="2"/>
  <c r="AY590" i="2" s="1"/>
  <c r="AT590" i="2"/>
  <c r="AT593" i="2" s="1"/>
  <c r="AT600" i="2" s="1"/>
  <c r="AR590" i="2"/>
  <c r="AR593" i="2" s="1"/>
  <c r="AR600" i="2" s="1"/>
  <c r="AQ590" i="2"/>
  <c r="AQ593" i="2" s="1"/>
  <c r="AQ600" i="2" s="1"/>
  <c r="AP590" i="2"/>
  <c r="AP593" i="2" s="1"/>
  <c r="AO590" i="2"/>
  <c r="AO593" i="2" s="1"/>
  <c r="AO600" i="2" s="1"/>
  <c r="AM590" i="2"/>
  <c r="AM593" i="2" s="1"/>
  <c r="AM600" i="2" s="1"/>
  <c r="AL590" i="2"/>
  <c r="AL593" i="2" s="1"/>
  <c r="AL600" i="2" s="1"/>
  <c r="AK590" i="2"/>
  <c r="AK593" i="2" s="1"/>
  <c r="AK600" i="2" s="1"/>
  <c r="AJ590" i="2"/>
  <c r="AJ593" i="2" s="1"/>
  <c r="AH590" i="2"/>
  <c r="AH593" i="2" s="1"/>
  <c r="AH600" i="2" s="1"/>
  <c r="AG590" i="2"/>
  <c r="AG593" i="2" s="1"/>
  <c r="AG600" i="2" s="1"/>
  <c r="AF590" i="2"/>
  <c r="AF593" i="2" s="1"/>
  <c r="AF600" i="2" s="1"/>
  <c r="AE590" i="2"/>
  <c r="AE593" i="2" s="1"/>
  <c r="AE600" i="2" s="1"/>
  <c r="AC590" i="2"/>
  <c r="AC593" i="2" s="1"/>
  <c r="AC600" i="2" s="1"/>
  <c r="AB590" i="2"/>
  <c r="AB593" i="2" s="1"/>
  <c r="AA590" i="2"/>
  <c r="AA593" i="2" s="1"/>
  <c r="AA600" i="2" s="1"/>
  <c r="Z590" i="2"/>
  <c r="X590" i="2"/>
  <c r="X593" i="2" s="1"/>
  <c r="W590" i="2"/>
  <c r="W593" i="2" s="1"/>
  <c r="V590" i="2"/>
  <c r="V593" i="2" s="1"/>
  <c r="U590" i="2"/>
  <c r="U593" i="2" s="1"/>
  <c r="U600" i="2" s="1"/>
  <c r="S590" i="2"/>
  <c r="S593" i="2" s="1"/>
  <c r="S600" i="2" s="1"/>
  <c r="R590" i="2"/>
  <c r="R593" i="2" s="1"/>
  <c r="Q590" i="2"/>
  <c r="Q593" i="2" s="1"/>
  <c r="Q600" i="2" s="1"/>
  <c r="P590" i="2"/>
  <c r="P593" i="2" s="1"/>
  <c r="N590" i="2"/>
  <c r="N593" i="2" s="1"/>
  <c r="N600" i="2" s="1"/>
  <c r="M590" i="2"/>
  <c r="M593" i="2" s="1"/>
  <c r="M600" i="2" s="1"/>
  <c r="M616" i="2" s="1"/>
  <c r="M69" i="5" s="1"/>
  <c r="L590" i="2"/>
  <c r="L593" i="2" s="1"/>
  <c r="K590" i="2"/>
  <c r="K593" i="2" s="1"/>
  <c r="I590" i="2"/>
  <c r="I593" i="2" s="1"/>
  <c r="I600" i="2" s="1"/>
  <c r="H590" i="2"/>
  <c r="H593" i="2" s="1"/>
  <c r="H600" i="2" s="1"/>
  <c r="G590" i="2"/>
  <c r="G593" i="2" s="1"/>
  <c r="G600" i="2" s="1"/>
  <c r="F590" i="2"/>
  <c r="F593" i="2" s="1"/>
  <c r="E590" i="2"/>
  <c r="E593" i="2" s="1"/>
  <c r="E600" i="2" s="1"/>
  <c r="D590" i="2"/>
  <c r="D593" i="2" s="1"/>
  <c r="D600" i="2" s="1"/>
  <c r="C590" i="2"/>
  <c r="C593" i="2" s="1"/>
  <c r="C600" i="2" s="1"/>
  <c r="A590" i="2"/>
  <c r="BD589" i="2"/>
  <c r="AW589" i="2"/>
  <c r="AY589" i="2" s="1"/>
  <c r="AV589" i="2"/>
  <c r="AU589" i="2"/>
  <c r="AT589" i="2"/>
  <c r="AR589" i="2"/>
  <c r="AQ589" i="2"/>
  <c r="AP589" i="2"/>
  <c r="AO589" i="2"/>
  <c r="AM589" i="2"/>
  <c r="AL589" i="2"/>
  <c r="AK589" i="2"/>
  <c r="AJ589" i="2"/>
  <c r="AH589" i="2"/>
  <c r="AG589" i="2"/>
  <c r="AF589" i="2"/>
  <c r="AE589" i="2"/>
  <c r="AC589" i="2"/>
  <c r="AB589" i="2"/>
  <c r="AA589" i="2"/>
  <c r="Z589" i="2"/>
  <c r="X589" i="2"/>
  <c r="W589" i="2"/>
  <c r="V589" i="2"/>
  <c r="U589" i="2"/>
  <c r="S589" i="2"/>
  <c r="R589" i="2"/>
  <c r="Q589" i="2"/>
  <c r="P589" i="2"/>
  <c r="N589" i="2"/>
  <c r="M589" i="2"/>
  <c r="L589" i="2"/>
  <c r="K589" i="2"/>
  <c r="I589" i="2"/>
  <c r="H589" i="2"/>
  <c r="G589" i="2"/>
  <c r="F589" i="2"/>
  <c r="E589" i="2"/>
  <c r="D589" i="2"/>
  <c r="C589" i="2"/>
  <c r="A589" i="2"/>
  <c r="BD588" i="2"/>
  <c r="AW588" i="2"/>
  <c r="AV588" i="2"/>
  <c r="AU588" i="2"/>
  <c r="AY588" i="2" s="1"/>
  <c r="AT588" i="2"/>
  <c r="AR588" i="2"/>
  <c r="AQ588" i="2"/>
  <c r="AP588" i="2"/>
  <c r="AO588" i="2"/>
  <c r="AM588" i="2"/>
  <c r="AL588" i="2"/>
  <c r="AK588" i="2"/>
  <c r="AJ588" i="2"/>
  <c r="AI588" i="2"/>
  <c r="AH588" i="2"/>
  <c r="AG588" i="2"/>
  <c r="AF588" i="2"/>
  <c r="AE588" i="2"/>
  <c r="AD588" i="2"/>
  <c r="AC588" i="2"/>
  <c r="AB588" i="2"/>
  <c r="AA588" i="2"/>
  <c r="Z588" i="2"/>
  <c r="Y588" i="2"/>
  <c r="X588" i="2"/>
  <c r="W588" i="2"/>
  <c r="V588" i="2"/>
  <c r="U588" i="2"/>
  <c r="T588" i="2"/>
  <c r="S588" i="2"/>
  <c r="R588" i="2"/>
  <c r="Q588" i="2"/>
  <c r="P588" i="2"/>
  <c r="O588" i="2"/>
  <c r="N588" i="2"/>
  <c r="M588" i="2"/>
  <c r="L588" i="2"/>
  <c r="K588" i="2"/>
  <c r="J588" i="2"/>
  <c r="I588" i="2"/>
  <c r="H588" i="2"/>
  <c r="G588" i="2"/>
  <c r="F588" i="2"/>
  <c r="E588" i="2"/>
  <c r="D588" i="2"/>
  <c r="C588" i="2"/>
  <c r="A588" i="2"/>
  <c r="BD587" i="2"/>
  <c r="AY587" i="2"/>
  <c r="AW587" i="2"/>
  <c r="AV587" i="2"/>
  <c r="AU587" i="2"/>
  <c r="AT587" i="2"/>
  <c r="AR587" i="2"/>
  <c r="AQ587" i="2"/>
  <c r="AP587" i="2"/>
  <c r="AO587" i="2"/>
  <c r="AM587" i="2"/>
  <c r="AL587" i="2"/>
  <c r="AK587" i="2"/>
  <c r="AJ587" i="2"/>
  <c r="AH587" i="2"/>
  <c r="AG587" i="2"/>
  <c r="AF587" i="2"/>
  <c r="AE587" i="2"/>
  <c r="AC587" i="2"/>
  <c r="AB587" i="2"/>
  <c r="AA587" i="2"/>
  <c r="Z587" i="2"/>
  <c r="X587" i="2"/>
  <c r="W587" i="2"/>
  <c r="V587" i="2"/>
  <c r="U587" i="2"/>
  <c r="T587" i="2"/>
  <c r="S587" i="2"/>
  <c r="R587" i="2"/>
  <c r="Q587" i="2"/>
  <c r="P587" i="2"/>
  <c r="O587" i="2"/>
  <c r="N587" i="2"/>
  <c r="M587" i="2"/>
  <c r="L587" i="2"/>
  <c r="K587" i="2"/>
  <c r="J587" i="2"/>
  <c r="I587" i="2"/>
  <c r="H587" i="2"/>
  <c r="G587" i="2"/>
  <c r="F587" i="2"/>
  <c r="E587" i="2"/>
  <c r="D587" i="2"/>
  <c r="C587" i="2"/>
  <c r="A587" i="2"/>
  <c r="AW586" i="2"/>
  <c r="AV586" i="2"/>
  <c r="AU586" i="2"/>
  <c r="AT586" i="2"/>
  <c r="AR586" i="2"/>
  <c r="AQ586" i="2"/>
  <c r="AP586" i="2"/>
  <c r="AO586" i="2"/>
  <c r="AM586" i="2"/>
  <c r="AL586" i="2"/>
  <c r="AK586" i="2"/>
  <c r="AJ586" i="2"/>
  <c r="AH586" i="2"/>
  <c r="AG586" i="2"/>
  <c r="AF586" i="2"/>
  <c r="AE586" i="2"/>
  <c r="AC586" i="2"/>
  <c r="AB586" i="2"/>
  <c r="AA586" i="2"/>
  <c r="Z586" i="2"/>
  <c r="X586" i="2"/>
  <c r="W586" i="2"/>
  <c r="V586" i="2"/>
  <c r="U586" i="2"/>
  <c r="S586" i="2"/>
  <c r="R586" i="2"/>
  <c r="Q586" i="2"/>
  <c r="P586" i="2"/>
  <c r="N586" i="2"/>
  <c r="M586" i="2"/>
  <c r="L586" i="2"/>
  <c r="K586" i="2"/>
  <c r="I586" i="2"/>
  <c r="H586" i="2"/>
  <c r="G586" i="2"/>
  <c r="F586" i="2"/>
  <c r="E586" i="2"/>
  <c r="D586" i="2"/>
  <c r="C586" i="2"/>
  <c r="A586" i="2"/>
  <c r="AW585" i="2"/>
  <c r="AV585" i="2"/>
  <c r="AU585" i="2"/>
  <c r="AT585" i="2"/>
  <c r="AR585" i="2"/>
  <c r="AQ585" i="2"/>
  <c r="AP585" i="2"/>
  <c r="AO585" i="2"/>
  <c r="AM585" i="2"/>
  <c r="AL585" i="2"/>
  <c r="AK585" i="2"/>
  <c r="AJ585" i="2"/>
  <c r="AH585" i="2"/>
  <c r="AG585" i="2"/>
  <c r="AF585" i="2"/>
  <c r="AE585" i="2"/>
  <c r="AC585" i="2"/>
  <c r="AB585" i="2"/>
  <c r="AA585" i="2"/>
  <c r="Z585" i="2"/>
  <c r="X585" i="2"/>
  <c r="W585" i="2"/>
  <c r="V585" i="2"/>
  <c r="U585" i="2"/>
  <c r="S585" i="2"/>
  <c r="R585" i="2"/>
  <c r="Q585" i="2"/>
  <c r="P585" i="2"/>
  <c r="N585" i="2"/>
  <c r="M585" i="2"/>
  <c r="L585" i="2"/>
  <c r="K585" i="2"/>
  <c r="I585" i="2"/>
  <c r="H585" i="2"/>
  <c r="G585" i="2"/>
  <c r="F585" i="2"/>
  <c r="E585" i="2"/>
  <c r="D585" i="2"/>
  <c r="C585" i="2"/>
  <c r="A585" i="2"/>
  <c r="AW584" i="2"/>
  <c r="AV584" i="2"/>
  <c r="AU584" i="2"/>
  <c r="AT584" i="2"/>
  <c r="AR584" i="2"/>
  <c r="AQ584" i="2"/>
  <c r="AP584" i="2"/>
  <c r="AO584" i="2"/>
  <c r="AM584" i="2"/>
  <c r="AL584" i="2"/>
  <c r="AK584" i="2"/>
  <c r="AJ584" i="2"/>
  <c r="AH584" i="2"/>
  <c r="AG584" i="2"/>
  <c r="AF584" i="2"/>
  <c r="AE584" i="2"/>
  <c r="AC584" i="2"/>
  <c r="AB584" i="2"/>
  <c r="AA584" i="2"/>
  <c r="Z584" i="2"/>
  <c r="X584" i="2"/>
  <c r="W584" i="2"/>
  <c r="V584" i="2"/>
  <c r="U584" i="2"/>
  <c r="S584" i="2"/>
  <c r="R584" i="2"/>
  <c r="Q584" i="2"/>
  <c r="P584" i="2"/>
  <c r="N584" i="2"/>
  <c r="M584" i="2"/>
  <c r="L584" i="2"/>
  <c r="K584" i="2"/>
  <c r="I584" i="2"/>
  <c r="H584" i="2"/>
  <c r="G584" i="2"/>
  <c r="F584" i="2"/>
  <c r="E584" i="2"/>
  <c r="D584" i="2"/>
  <c r="C584" i="2"/>
  <c r="A584" i="2"/>
  <c r="A583" i="2"/>
  <c r="AS580" i="2"/>
  <c r="AN580" i="2"/>
  <c r="AI580" i="2"/>
  <c r="AD580" i="2"/>
  <c r="Y580" i="2"/>
  <c r="T580" i="2"/>
  <c r="O580" i="2"/>
  <c r="J580" i="2"/>
  <c r="AS579" i="2"/>
  <c r="AN579" i="2"/>
  <c r="AI579" i="2"/>
  <c r="AD579" i="2"/>
  <c r="Y579" i="2"/>
  <c r="T579" i="2"/>
  <c r="O579" i="2"/>
  <c r="J579" i="2"/>
  <c r="AN576" i="2"/>
  <c r="AO576" i="2" s="1"/>
  <c r="AO666" i="2" s="1"/>
  <c r="AG576" i="2"/>
  <c r="AH576" i="2" s="1"/>
  <c r="AI576" i="2" s="1"/>
  <c r="AJ576" i="2" s="1"/>
  <c r="BC573" i="2"/>
  <c r="AX573" i="2"/>
  <c r="AT573" i="2"/>
  <c r="AN573" i="2"/>
  <c r="AN663" i="2" s="1"/>
  <c r="AI573" i="2"/>
  <c r="AI663" i="2" s="1"/>
  <c r="AD573" i="2"/>
  <c r="AD663" i="2" s="1"/>
  <c r="Y573" i="2"/>
  <c r="Y663" i="2" s="1"/>
  <c r="T573" i="2"/>
  <c r="T663" i="2" s="1"/>
  <c r="O573" i="2"/>
  <c r="O663" i="2" s="1"/>
  <c r="J573" i="2"/>
  <c r="J663" i="2" s="1"/>
  <c r="BG571" i="2"/>
  <c r="BF571" i="2"/>
  <c r="BE571" i="2"/>
  <c r="BD571" i="2"/>
  <c r="BB571" i="2"/>
  <c r="BA571" i="2"/>
  <c r="AZ571" i="2"/>
  <c r="AZ574" i="2" s="1"/>
  <c r="AY571" i="2"/>
  <c r="AW571" i="2"/>
  <c r="AW574" i="2" s="1"/>
  <c r="AV571" i="2"/>
  <c r="AU571" i="2"/>
  <c r="AT571" i="2"/>
  <c r="AR571" i="2"/>
  <c r="AQ571" i="2"/>
  <c r="AP571" i="2"/>
  <c r="AO571" i="2"/>
  <c r="AM571" i="2"/>
  <c r="AL571" i="2"/>
  <c r="AK571" i="2"/>
  <c r="AK574" i="2" s="1"/>
  <c r="AJ571" i="2"/>
  <c r="AH571" i="2"/>
  <c r="AG571" i="2"/>
  <c r="AF571" i="2"/>
  <c r="AE571" i="2"/>
  <c r="AC571" i="2"/>
  <c r="AB571" i="2"/>
  <c r="AA571" i="2"/>
  <c r="Z571" i="2"/>
  <c r="X571" i="2"/>
  <c r="W571" i="2"/>
  <c r="V571" i="2"/>
  <c r="V574" i="2" s="1"/>
  <c r="U571" i="2"/>
  <c r="S571" i="2"/>
  <c r="R571" i="2"/>
  <c r="Q571" i="2"/>
  <c r="Q574" i="2" s="1"/>
  <c r="P571" i="2"/>
  <c r="N571" i="2"/>
  <c r="M571" i="2"/>
  <c r="L571" i="2"/>
  <c r="K571" i="2"/>
  <c r="I571" i="2"/>
  <c r="H571" i="2"/>
  <c r="G571" i="2"/>
  <c r="F571" i="2"/>
  <c r="E571" i="2"/>
  <c r="D571" i="2"/>
  <c r="C571" i="2"/>
  <c r="AS570" i="2"/>
  <c r="AS660" i="2" s="1"/>
  <c r="AN570" i="2"/>
  <c r="AN660" i="2" s="1"/>
  <c r="AS569" i="2"/>
  <c r="AS659" i="2" s="1"/>
  <c r="AN569" i="2"/>
  <c r="AN659" i="2" s="1"/>
  <c r="AI569" i="2"/>
  <c r="AI659" i="2" s="1"/>
  <c r="AD569" i="2"/>
  <c r="AD659" i="2" s="1"/>
  <c r="AS568" i="2"/>
  <c r="AS658" i="2" s="1"/>
  <c r="AN568" i="2"/>
  <c r="AN658" i="2" s="1"/>
  <c r="AI568" i="2"/>
  <c r="AI658" i="2" s="1"/>
  <c r="AD568" i="2"/>
  <c r="AD658" i="2" s="1"/>
  <c r="AS567" i="2"/>
  <c r="AS657" i="2" s="1"/>
  <c r="AN567" i="2"/>
  <c r="AN657" i="2" s="1"/>
  <c r="AI567" i="2"/>
  <c r="AI657" i="2" s="1"/>
  <c r="AD567" i="2"/>
  <c r="AD657" i="2" s="1"/>
  <c r="AS566" i="2"/>
  <c r="AS656" i="2" s="1"/>
  <c r="AN566" i="2"/>
  <c r="AN656" i="2" s="1"/>
  <c r="AI566" i="2"/>
  <c r="AI656" i="2" s="1"/>
  <c r="AD566" i="2"/>
  <c r="AD656" i="2" s="1"/>
  <c r="Y566" i="2"/>
  <c r="Y656" i="2" s="1"/>
  <c r="BC564" i="2"/>
  <c r="AX564" i="2"/>
  <c r="AS564" i="2"/>
  <c r="AS654" i="2" s="1"/>
  <c r="AN564" i="2"/>
  <c r="AN654" i="2" s="1"/>
  <c r="AI564" i="2"/>
  <c r="AI654" i="2" s="1"/>
  <c r="AD564" i="2"/>
  <c r="AD654" i="2" s="1"/>
  <c r="Y564" i="2"/>
  <c r="Y654" i="2" s="1"/>
  <c r="T564" i="2"/>
  <c r="T654" i="2" s="1"/>
  <c r="O564" i="2"/>
  <c r="O654" i="2" s="1"/>
  <c r="J564" i="2"/>
  <c r="J654" i="2" s="1"/>
  <c r="BC563" i="2"/>
  <c r="AX563" i="2"/>
  <c r="AS563" i="2"/>
  <c r="AS653" i="2" s="1"/>
  <c r="AN563" i="2"/>
  <c r="AN653" i="2" s="1"/>
  <c r="AI563" i="2"/>
  <c r="AI653" i="2" s="1"/>
  <c r="AD563" i="2"/>
  <c r="AD653" i="2" s="1"/>
  <c r="Y563" i="2"/>
  <c r="Y653" i="2" s="1"/>
  <c r="T563" i="2"/>
  <c r="T653" i="2" s="1"/>
  <c r="O563" i="2"/>
  <c r="O653" i="2" s="1"/>
  <c r="J563" i="2"/>
  <c r="J653" i="2" s="1"/>
  <c r="BC561" i="2"/>
  <c r="AX561" i="2"/>
  <c r="AS561" i="2"/>
  <c r="AS651" i="2" s="1"/>
  <c r="AN561" i="2"/>
  <c r="AN651" i="2" s="1"/>
  <c r="AI561" i="2"/>
  <c r="AI651" i="2" s="1"/>
  <c r="AD561" i="2"/>
  <c r="AD651" i="2" s="1"/>
  <c r="Y561" i="2"/>
  <c r="Y651" i="2" s="1"/>
  <c r="T561" i="2"/>
  <c r="T651" i="2" s="1"/>
  <c r="O561" i="2"/>
  <c r="O651" i="2" s="1"/>
  <c r="J561" i="2"/>
  <c r="J651" i="2" s="1"/>
  <c r="BC560" i="2"/>
  <c r="AX560" i="2"/>
  <c r="AS560" i="2"/>
  <c r="AS650" i="2" s="1"/>
  <c r="AN560" i="2"/>
  <c r="AN650" i="2" s="1"/>
  <c r="AI560" i="2"/>
  <c r="AI650" i="2" s="1"/>
  <c r="AD560" i="2"/>
  <c r="AD650" i="2" s="1"/>
  <c r="Y560" i="2"/>
  <c r="Y650" i="2" s="1"/>
  <c r="T560" i="2"/>
  <c r="T650" i="2" s="1"/>
  <c r="O560" i="2"/>
  <c r="O650" i="2" s="1"/>
  <c r="J560" i="2"/>
  <c r="J650" i="2" s="1"/>
  <c r="BC559" i="2"/>
  <c r="AX559" i="2"/>
  <c r="AS559" i="2"/>
  <c r="AS649" i="2" s="1"/>
  <c r="AN559" i="2"/>
  <c r="AN649" i="2" s="1"/>
  <c r="AI559" i="2"/>
  <c r="AI649" i="2" s="1"/>
  <c r="AD559" i="2"/>
  <c r="AD649" i="2" s="1"/>
  <c r="Y559" i="2"/>
  <c r="Y649" i="2" s="1"/>
  <c r="T559" i="2"/>
  <c r="T649" i="2" s="1"/>
  <c r="O559" i="2"/>
  <c r="O649" i="2" s="1"/>
  <c r="J559" i="2"/>
  <c r="J649" i="2" s="1"/>
  <c r="BC558" i="2"/>
  <c r="AX558" i="2"/>
  <c r="AS558" i="2"/>
  <c r="AS648" i="2" s="1"/>
  <c r="AN558" i="2"/>
  <c r="AN648" i="2" s="1"/>
  <c r="AI558" i="2"/>
  <c r="AI648" i="2" s="1"/>
  <c r="AD558" i="2"/>
  <c r="AD648" i="2" s="1"/>
  <c r="Y558" i="2"/>
  <c r="Y648" i="2" s="1"/>
  <c r="T558" i="2"/>
  <c r="T648" i="2" s="1"/>
  <c r="O558" i="2"/>
  <c r="O648" i="2" s="1"/>
  <c r="J558" i="2"/>
  <c r="J648" i="2" s="1"/>
  <c r="BC557" i="2"/>
  <c r="AX557" i="2"/>
  <c r="AS557" i="2"/>
  <c r="AS647" i="2" s="1"/>
  <c r="AN557" i="2"/>
  <c r="AN647" i="2" s="1"/>
  <c r="AI557" i="2"/>
  <c r="AI647" i="2" s="1"/>
  <c r="AD557" i="2"/>
  <c r="AD647" i="2" s="1"/>
  <c r="Y557" i="2"/>
  <c r="Y647" i="2" s="1"/>
  <c r="T557" i="2"/>
  <c r="T647" i="2" s="1"/>
  <c r="O557" i="2"/>
  <c r="O647" i="2" s="1"/>
  <c r="J557" i="2"/>
  <c r="J647" i="2" s="1"/>
  <c r="AS556" i="2"/>
  <c r="AS646" i="2" s="1"/>
  <c r="AN556" i="2"/>
  <c r="AN646" i="2" s="1"/>
  <c r="AI556" i="2"/>
  <c r="AI646" i="2" s="1"/>
  <c r="AD556" i="2"/>
  <c r="AD646" i="2" s="1"/>
  <c r="AS555" i="2"/>
  <c r="AS645" i="2" s="1"/>
  <c r="AN555" i="2"/>
  <c r="AN645" i="2" s="1"/>
  <c r="AI555" i="2"/>
  <c r="AI645" i="2" s="1"/>
  <c r="AD555" i="2"/>
  <c r="AD645" i="2" s="1"/>
  <c r="AS554" i="2"/>
  <c r="AS644" i="2" s="1"/>
  <c r="AN554" i="2"/>
  <c r="AN644" i="2" s="1"/>
  <c r="AI554" i="2"/>
  <c r="AI644" i="2" s="1"/>
  <c r="AD554" i="2"/>
  <c r="AD644" i="2" s="1"/>
  <c r="AS553" i="2"/>
  <c r="AS643" i="2" s="1"/>
  <c r="AN553" i="2"/>
  <c r="AN643" i="2" s="1"/>
  <c r="AI553" i="2"/>
  <c r="AI643" i="2" s="1"/>
  <c r="AD553" i="2"/>
  <c r="AD643" i="2" s="1"/>
  <c r="Y553" i="2"/>
  <c r="Y643" i="2" s="1"/>
  <c r="BC552" i="2"/>
  <c r="AX552" i="2"/>
  <c r="AS552" i="2"/>
  <c r="AS642" i="2" s="1"/>
  <c r="AN552" i="2"/>
  <c r="AN642" i="2" s="1"/>
  <c r="AI552" i="2"/>
  <c r="AI642" i="2" s="1"/>
  <c r="AD552" i="2"/>
  <c r="AD642" i="2" s="1"/>
  <c r="Y552" i="2"/>
  <c r="Y642" i="2" s="1"/>
  <c r="T552" i="2"/>
  <c r="T642" i="2" s="1"/>
  <c r="O552" i="2"/>
  <c r="O642" i="2" s="1"/>
  <c r="J552" i="2"/>
  <c r="J642" i="2" s="1"/>
  <c r="AS551" i="2"/>
  <c r="AS641" i="2" s="1"/>
  <c r="AN551" i="2"/>
  <c r="AN641" i="2" s="1"/>
  <c r="AI551" i="2"/>
  <c r="AI641" i="2" s="1"/>
  <c r="AD551" i="2"/>
  <c r="AD641" i="2" s="1"/>
  <c r="Y551" i="2"/>
  <c r="Y641" i="2" s="1"/>
  <c r="C551" i="2"/>
  <c r="BC550" i="2"/>
  <c r="AX550" i="2"/>
  <c r="AS550" i="2"/>
  <c r="AS640" i="2" s="1"/>
  <c r="AN550" i="2"/>
  <c r="AN640" i="2" s="1"/>
  <c r="AI550" i="2"/>
  <c r="AI640" i="2" s="1"/>
  <c r="AD550" i="2"/>
  <c r="AD640" i="2" s="1"/>
  <c r="Y550" i="2"/>
  <c r="Y640" i="2" s="1"/>
  <c r="T550" i="2"/>
  <c r="T640" i="2" s="1"/>
  <c r="O550" i="2"/>
  <c r="O640" i="2" s="1"/>
  <c r="J550" i="2"/>
  <c r="J640" i="2" s="1"/>
  <c r="BC549" i="2"/>
  <c r="AX549" i="2"/>
  <c r="AS549" i="2"/>
  <c r="AS639" i="2" s="1"/>
  <c r="AN549" i="2"/>
  <c r="AN639" i="2" s="1"/>
  <c r="AI549" i="2"/>
  <c r="AI639" i="2" s="1"/>
  <c r="AD549" i="2"/>
  <c r="AD639" i="2" s="1"/>
  <c r="Y549" i="2"/>
  <c r="Y639" i="2" s="1"/>
  <c r="T549" i="2"/>
  <c r="T639" i="2" s="1"/>
  <c r="O549" i="2"/>
  <c r="O639" i="2" s="1"/>
  <c r="J549" i="2"/>
  <c r="J639" i="2" s="1"/>
  <c r="AS548" i="2"/>
  <c r="AS638" i="2" s="1"/>
  <c r="AN548" i="2"/>
  <c r="AN638" i="2" s="1"/>
  <c r="AI548" i="2"/>
  <c r="AI638" i="2" s="1"/>
  <c r="AD548" i="2"/>
  <c r="AD638" i="2" s="1"/>
  <c r="Z548" i="2"/>
  <c r="Y548" i="2"/>
  <c r="Y638" i="2" s="1"/>
  <c r="AS547" i="2"/>
  <c r="AS637" i="2" s="1"/>
  <c r="AN547" i="2"/>
  <c r="AN637" i="2" s="1"/>
  <c r="AI547" i="2"/>
  <c r="AI637" i="2" s="1"/>
  <c r="AS546" i="2"/>
  <c r="AS636" i="2" s="1"/>
  <c r="BC545" i="2"/>
  <c r="BC571" i="2" s="1"/>
  <c r="AX545" i="2"/>
  <c r="AX571" i="2" s="1"/>
  <c r="AS545" i="2"/>
  <c r="AS635" i="2" s="1"/>
  <c r="AN545" i="2"/>
  <c r="AN635" i="2" s="1"/>
  <c r="AI545" i="2"/>
  <c r="AI635" i="2" s="1"/>
  <c r="AD545" i="2"/>
  <c r="AD635" i="2" s="1"/>
  <c r="Y545" i="2"/>
  <c r="Y635" i="2" s="1"/>
  <c r="T545" i="2"/>
  <c r="T635" i="2" s="1"/>
  <c r="O545" i="2"/>
  <c r="O635" i="2" s="1"/>
  <c r="J545" i="2"/>
  <c r="J635" i="2" s="1"/>
  <c r="AS544" i="2"/>
  <c r="AS634" i="2" s="1"/>
  <c r="AN544" i="2"/>
  <c r="AN634" i="2" s="1"/>
  <c r="AI544" i="2"/>
  <c r="AI634" i="2" s="1"/>
  <c r="BG541" i="2"/>
  <c r="BF541" i="2"/>
  <c r="BE541" i="2"/>
  <c r="BD541" i="2"/>
  <c r="BB541" i="2"/>
  <c r="BA541" i="2"/>
  <c r="AZ541" i="2"/>
  <c r="AY541" i="2"/>
  <c r="AW541" i="2"/>
  <c r="AV541" i="2"/>
  <c r="AU541" i="2"/>
  <c r="AT541" i="2"/>
  <c r="AR541" i="2"/>
  <c r="AQ541" i="2"/>
  <c r="AP541" i="2"/>
  <c r="AO541" i="2"/>
  <c r="AM541" i="2"/>
  <c r="AL541" i="2"/>
  <c r="AK541" i="2"/>
  <c r="AJ541" i="2"/>
  <c r="AH541" i="2"/>
  <c r="AG541" i="2"/>
  <c r="AF541" i="2"/>
  <c r="AE541" i="2"/>
  <c r="AC541" i="2"/>
  <c r="AB541" i="2"/>
  <c r="AA541" i="2"/>
  <c r="Z541" i="2"/>
  <c r="X541" i="2"/>
  <c r="W541" i="2"/>
  <c r="V541" i="2"/>
  <c r="U541" i="2"/>
  <c r="S541" i="2"/>
  <c r="R541" i="2"/>
  <c r="Q541" i="2"/>
  <c r="P541" i="2"/>
  <c r="N541" i="2"/>
  <c r="M541" i="2"/>
  <c r="L541" i="2"/>
  <c r="K541" i="2"/>
  <c r="I541" i="2"/>
  <c r="H541" i="2"/>
  <c r="G541" i="2"/>
  <c r="F541" i="2"/>
  <c r="E541" i="2"/>
  <c r="D541" i="2"/>
  <c r="C541" i="2"/>
  <c r="AS540" i="2"/>
  <c r="AS630" i="2" s="1"/>
  <c r="AN540" i="2"/>
  <c r="AN630" i="2" s="1"/>
  <c r="AI540" i="2"/>
  <c r="AI630" i="2" s="1"/>
  <c r="BC539" i="2"/>
  <c r="AX539" i="2"/>
  <c r="AS539" i="2"/>
  <c r="AS629" i="2" s="1"/>
  <c r="AN539" i="2"/>
  <c r="AN629" i="2" s="1"/>
  <c r="AI539" i="2"/>
  <c r="AI629" i="2" s="1"/>
  <c r="AD539" i="2"/>
  <c r="AD629" i="2" s="1"/>
  <c r="Y539" i="2"/>
  <c r="Y629" i="2" s="1"/>
  <c r="T539" i="2"/>
  <c r="T629" i="2" s="1"/>
  <c r="O539" i="2"/>
  <c r="O629" i="2" s="1"/>
  <c r="J539" i="2"/>
  <c r="J629" i="2" s="1"/>
  <c r="BC538" i="2"/>
  <c r="AX538" i="2"/>
  <c r="AS538" i="2"/>
  <c r="AS628" i="2" s="1"/>
  <c r="AN538" i="2"/>
  <c r="AN628" i="2" s="1"/>
  <c r="AI538" i="2"/>
  <c r="AI628" i="2" s="1"/>
  <c r="AD538" i="2"/>
  <c r="AD628" i="2" s="1"/>
  <c r="Y538" i="2"/>
  <c r="Y628" i="2" s="1"/>
  <c r="T538" i="2"/>
  <c r="T628" i="2" s="1"/>
  <c r="O538" i="2"/>
  <c r="O628" i="2" s="1"/>
  <c r="J538" i="2"/>
  <c r="J628" i="2" s="1"/>
  <c r="BC537" i="2"/>
  <c r="AX537" i="2"/>
  <c r="AS537" i="2"/>
  <c r="AS627" i="2" s="1"/>
  <c r="AN537" i="2"/>
  <c r="AN627" i="2" s="1"/>
  <c r="AI537" i="2"/>
  <c r="AI627" i="2" s="1"/>
  <c r="AD537" i="2"/>
  <c r="AD627" i="2" s="1"/>
  <c r="Y537" i="2"/>
  <c r="Y627" i="2" s="1"/>
  <c r="T537" i="2"/>
  <c r="T627" i="2" s="1"/>
  <c r="O537" i="2"/>
  <c r="O627" i="2" s="1"/>
  <c r="J537" i="2"/>
  <c r="J627" i="2" s="1"/>
  <c r="BC536" i="2"/>
  <c r="AX536" i="2"/>
  <c r="AS536" i="2"/>
  <c r="AS626" i="2" s="1"/>
  <c r="AN536" i="2"/>
  <c r="AN626" i="2" s="1"/>
  <c r="AI536" i="2"/>
  <c r="AI626" i="2" s="1"/>
  <c r="AD536" i="2"/>
  <c r="AD626" i="2" s="1"/>
  <c r="Y536" i="2"/>
  <c r="Y626" i="2" s="1"/>
  <c r="T536" i="2"/>
  <c r="T626" i="2" s="1"/>
  <c r="O536" i="2"/>
  <c r="O626" i="2" s="1"/>
  <c r="J536" i="2"/>
  <c r="J626" i="2" s="1"/>
  <c r="BC535" i="2"/>
  <c r="AX535" i="2"/>
  <c r="AS535" i="2"/>
  <c r="AS625" i="2" s="1"/>
  <c r="AN535" i="2"/>
  <c r="AN625" i="2" s="1"/>
  <c r="AI535" i="2"/>
  <c r="AI625" i="2" s="1"/>
  <c r="AD535" i="2"/>
  <c r="AD625" i="2" s="1"/>
  <c r="Y535" i="2"/>
  <c r="Y625" i="2" s="1"/>
  <c r="T535" i="2"/>
  <c r="T625" i="2" s="1"/>
  <c r="O535" i="2"/>
  <c r="O625" i="2" s="1"/>
  <c r="J535" i="2"/>
  <c r="J625" i="2" s="1"/>
  <c r="AS532" i="2"/>
  <c r="AS622" i="2" s="1"/>
  <c r="AN532" i="2"/>
  <c r="AN622" i="2" s="1"/>
  <c r="AS531" i="2"/>
  <c r="AS621" i="2" s="1"/>
  <c r="AS700" i="2" s="1"/>
  <c r="AN531" i="2"/>
  <c r="AN621" i="2" s="1"/>
  <c r="AN700" i="2" s="1"/>
  <c r="AS530" i="2"/>
  <c r="AS620" i="2" s="1"/>
  <c r="AN530" i="2"/>
  <c r="AN620" i="2" s="1"/>
  <c r="AI530" i="2"/>
  <c r="AI620" i="2" s="1"/>
  <c r="AD530" i="2"/>
  <c r="AD620" i="2" s="1"/>
  <c r="Y530" i="2"/>
  <c r="Y620" i="2" s="1"/>
  <c r="BC529" i="2"/>
  <c r="BC541" i="2" s="1"/>
  <c r="AX529" i="2"/>
  <c r="AX541" i="2" s="1"/>
  <c r="AS529" i="2"/>
  <c r="AS619" i="2" s="1"/>
  <c r="AN529" i="2"/>
  <c r="AN619" i="2" s="1"/>
  <c r="AI529" i="2"/>
  <c r="AI619" i="2" s="1"/>
  <c r="AD529" i="2"/>
  <c r="AD619" i="2" s="1"/>
  <c r="Y529" i="2"/>
  <c r="Y619" i="2" s="1"/>
  <c r="T529" i="2"/>
  <c r="T619" i="2" s="1"/>
  <c r="O529" i="2"/>
  <c r="O619" i="2" s="1"/>
  <c r="J529" i="2"/>
  <c r="J619" i="2" s="1"/>
  <c r="AY526" i="2"/>
  <c r="AW526" i="2"/>
  <c r="AS525" i="2"/>
  <c r="AS615" i="2" s="1"/>
  <c r="AN525" i="2"/>
  <c r="AN615" i="2" s="1"/>
  <c r="BC524" i="2"/>
  <c r="AX524" i="2"/>
  <c r="AS524" i="2"/>
  <c r="AS614" i="2" s="1"/>
  <c r="AN524" i="2"/>
  <c r="AN614" i="2" s="1"/>
  <c r="AI524" i="2"/>
  <c r="AI614" i="2" s="1"/>
  <c r="AD524" i="2"/>
  <c r="AD614" i="2" s="1"/>
  <c r="Y524" i="2"/>
  <c r="Y614" i="2" s="1"/>
  <c r="T524" i="2"/>
  <c r="T614" i="2" s="1"/>
  <c r="O524" i="2"/>
  <c r="O614" i="2" s="1"/>
  <c r="J524" i="2"/>
  <c r="J614" i="2" s="1"/>
  <c r="BC523" i="2"/>
  <c r="AX523" i="2"/>
  <c r="AS523" i="2"/>
  <c r="AS613" i="2" s="1"/>
  <c r="AN523" i="2"/>
  <c r="AN613" i="2" s="1"/>
  <c r="AI523" i="2"/>
  <c r="AI613" i="2" s="1"/>
  <c r="AD523" i="2"/>
  <c r="AD613" i="2" s="1"/>
  <c r="Y523" i="2"/>
  <c r="Y613" i="2" s="1"/>
  <c r="T523" i="2"/>
  <c r="T613" i="2" s="1"/>
  <c r="O523" i="2"/>
  <c r="O613" i="2" s="1"/>
  <c r="J523" i="2"/>
  <c r="J613" i="2" s="1"/>
  <c r="BC522" i="2"/>
  <c r="AX522" i="2"/>
  <c r="AS522" i="2"/>
  <c r="AS612" i="2" s="1"/>
  <c r="AN522" i="2"/>
  <c r="AN612" i="2" s="1"/>
  <c r="AI522" i="2"/>
  <c r="AI612" i="2" s="1"/>
  <c r="AD522" i="2"/>
  <c r="AD612" i="2" s="1"/>
  <c r="Y522" i="2"/>
  <c r="Y612" i="2" s="1"/>
  <c r="T522" i="2"/>
  <c r="T612" i="2" s="1"/>
  <c r="O522" i="2"/>
  <c r="O612" i="2" s="1"/>
  <c r="J522" i="2"/>
  <c r="J612" i="2" s="1"/>
  <c r="BC521" i="2"/>
  <c r="AX521" i="2"/>
  <c r="AS521" i="2"/>
  <c r="AS611" i="2" s="1"/>
  <c r="AN521" i="2"/>
  <c r="AN611" i="2" s="1"/>
  <c r="AI521" i="2"/>
  <c r="AI611" i="2" s="1"/>
  <c r="AD521" i="2"/>
  <c r="AD611" i="2" s="1"/>
  <c r="Y521" i="2"/>
  <c r="Y611" i="2" s="1"/>
  <c r="T521" i="2"/>
  <c r="T611" i="2" s="1"/>
  <c r="O521" i="2"/>
  <c r="O611" i="2" s="1"/>
  <c r="J521" i="2"/>
  <c r="J611" i="2" s="1"/>
  <c r="BC520" i="2"/>
  <c r="AX520" i="2"/>
  <c r="AS520" i="2"/>
  <c r="AS610" i="2" s="1"/>
  <c r="AN520" i="2"/>
  <c r="AN610" i="2" s="1"/>
  <c r="AI520" i="2"/>
  <c r="AI610" i="2" s="1"/>
  <c r="AD520" i="2"/>
  <c r="AD610" i="2" s="1"/>
  <c r="Y520" i="2"/>
  <c r="Y610" i="2" s="1"/>
  <c r="T520" i="2"/>
  <c r="T610" i="2" s="1"/>
  <c r="O520" i="2"/>
  <c r="O610" i="2" s="1"/>
  <c r="J520" i="2"/>
  <c r="J610" i="2" s="1"/>
  <c r="BC519" i="2"/>
  <c r="AX519" i="2"/>
  <c r="AS519" i="2"/>
  <c r="AS609" i="2" s="1"/>
  <c r="AN519" i="2"/>
  <c r="AN609" i="2" s="1"/>
  <c r="AI519" i="2"/>
  <c r="AI609" i="2" s="1"/>
  <c r="AD519" i="2"/>
  <c r="AD609" i="2" s="1"/>
  <c r="Y519" i="2"/>
  <c r="Y609" i="2" s="1"/>
  <c r="T519" i="2"/>
  <c r="T609" i="2" s="1"/>
  <c r="O519" i="2"/>
  <c r="O609" i="2" s="1"/>
  <c r="J519" i="2"/>
  <c r="J609" i="2" s="1"/>
  <c r="BC518" i="2"/>
  <c r="AX518" i="2"/>
  <c r="AS518" i="2"/>
  <c r="AS608" i="2" s="1"/>
  <c r="AN518" i="2"/>
  <c r="AN608" i="2" s="1"/>
  <c r="AI518" i="2"/>
  <c r="AI608" i="2" s="1"/>
  <c r="AD518" i="2"/>
  <c r="AD608" i="2" s="1"/>
  <c r="Y518" i="2"/>
  <c r="Y608" i="2" s="1"/>
  <c r="T518" i="2"/>
  <c r="T608" i="2" s="1"/>
  <c r="O518" i="2"/>
  <c r="O608" i="2" s="1"/>
  <c r="J518" i="2"/>
  <c r="J608" i="2" s="1"/>
  <c r="BC517" i="2"/>
  <c r="AX517" i="2"/>
  <c r="AS517" i="2"/>
  <c r="AS607" i="2" s="1"/>
  <c r="AN517" i="2"/>
  <c r="AN607" i="2" s="1"/>
  <c r="AI517" i="2"/>
  <c r="AI607" i="2" s="1"/>
  <c r="AD517" i="2"/>
  <c r="AD607" i="2" s="1"/>
  <c r="Y517" i="2"/>
  <c r="Y607" i="2" s="1"/>
  <c r="T517" i="2"/>
  <c r="T607" i="2" s="1"/>
  <c r="O517" i="2"/>
  <c r="O607" i="2" s="1"/>
  <c r="J517" i="2"/>
  <c r="J607" i="2" s="1"/>
  <c r="AS516" i="2"/>
  <c r="AS606" i="2" s="1"/>
  <c r="AN516" i="2"/>
  <c r="AN606" i="2" s="1"/>
  <c r="AI516" i="2"/>
  <c r="AI606" i="2" s="1"/>
  <c r="AD516" i="2"/>
  <c r="AD606" i="2" s="1"/>
  <c r="Y516" i="2"/>
  <c r="Y606" i="2" s="1"/>
  <c r="BC515" i="2"/>
  <c r="AX515" i="2"/>
  <c r="AS515" i="2"/>
  <c r="AS605" i="2" s="1"/>
  <c r="AN515" i="2"/>
  <c r="AN605" i="2" s="1"/>
  <c r="AI515" i="2"/>
  <c r="AI605" i="2" s="1"/>
  <c r="AD515" i="2"/>
  <c r="AD605" i="2" s="1"/>
  <c r="Y515" i="2"/>
  <c r="Y605" i="2" s="1"/>
  <c r="T515" i="2"/>
  <c r="T605" i="2" s="1"/>
  <c r="O515" i="2"/>
  <c r="O605" i="2" s="1"/>
  <c r="J515" i="2"/>
  <c r="J605" i="2" s="1"/>
  <c r="BC514" i="2"/>
  <c r="BC526" i="2" s="1"/>
  <c r="AX514" i="2"/>
  <c r="AW514" i="2"/>
  <c r="AV514" i="2"/>
  <c r="AV604" i="2" s="1"/>
  <c r="AU514" i="2"/>
  <c r="AU604" i="2" s="1"/>
  <c r="AT514" i="2"/>
  <c r="AT604" i="2" s="1"/>
  <c r="AT616" i="2" s="1"/>
  <c r="AT69" i="5" s="1"/>
  <c r="AR514" i="2"/>
  <c r="AR526" i="2" s="1"/>
  <c r="AQ514" i="2"/>
  <c r="AQ526" i="2" s="1"/>
  <c r="AP514" i="2"/>
  <c r="AP604" i="2" s="1"/>
  <c r="AO514" i="2"/>
  <c r="AO604" i="2" s="1"/>
  <c r="AO616" i="2" s="1"/>
  <c r="AO69" i="5" s="1"/>
  <c r="AM514" i="2"/>
  <c r="AM604" i="2" s="1"/>
  <c r="AM616" i="2" s="1"/>
  <c r="AM69" i="5" s="1"/>
  <c r="AL514" i="2"/>
  <c r="AK514" i="2"/>
  <c r="AK604" i="2" s="1"/>
  <c r="AK616" i="2" s="1"/>
  <c r="AJ514" i="2"/>
  <c r="AJ604" i="2" s="1"/>
  <c r="AH514" i="2"/>
  <c r="AH604" i="2" s="1"/>
  <c r="AH616" i="2" s="1"/>
  <c r="AH69" i="5" s="1"/>
  <c r="AG514" i="2"/>
  <c r="AG604" i="2" s="1"/>
  <c r="AG616" i="2" s="1"/>
  <c r="AG69" i="5" s="1"/>
  <c r="AF514" i="2"/>
  <c r="AF604" i="2" s="1"/>
  <c r="AE514" i="2"/>
  <c r="AE604" i="2" s="1"/>
  <c r="AE616" i="2" s="1"/>
  <c r="AE69" i="5" s="1"/>
  <c r="AC514" i="2"/>
  <c r="AC604" i="2" s="1"/>
  <c r="AC616" i="2" s="1"/>
  <c r="AC69" i="5" s="1"/>
  <c r="AB514" i="2"/>
  <c r="AA514" i="2"/>
  <c r="AA604" i="2" s="1"/>
  <c r="AA616" i="2" s="1"/>
  <c r="Y514" i="2"/>
  <c r="Y604" i="2" s="1"/>
  <c r="T514" i="2"/>
  <c r="T604" i="2" s="1"/>
  <c r="O514" i="2"/>
  <c r="O604" i="2" s="1"/>
  <c r="J514" i="2"/>
  <c r="J604" i="2" s="1"/>
  <c r="AS513" i="2"/>
  <c r="AS603" i="2" s="1"/>
  <c r="AN513" i="2"/>
  <c r="AN603" i="2" s="1"/>
  <c r="AI513" i="2"/>
  <c r="AI603" i="2" s="1"/>
  <c r="AD513" i="2"/>
  <c r="AD603" i="2" s="1"/>
  <c r="AS512" i="2"/>
  <c r="AS602" i="2" s="1"/>
  <c r="AN512" i="2"/>
  <c r="AN602" i="2" s="1"/>
  <c r="AI512" i="2"/>
  <c r="AI602" i="2" s="1"/>
  <c r="AD512" i="2"/>
  <c r="AD602" i="2" s="1"/>
  <c r="BC511" i="2"/>
  <c r="AX511" i="2"/>
  <c r="AS511" i="2"/>
  <c r="AS601" i="2" s="1"/>
  <c r="AN511" i="2"/>
  <c r="AN601" i="2" s="1"/>
  <c r="AI511" i="2"/>
  <c r="AI601" i="2" s="1"/>
  <c r="AD511" i="2"/>
  <c r="AD601" i="2" s="1"/>
  <c r="Y511" i="2"/>
  <c r="Y601" i="2" s="1"/>
  <c r="T511" i="2"/>
  <c r="T601" i="2" s="1"/>
  <c r="O511" i="2"/>
  <c r="O601" i="2" s="1"/>
  <c r="J511" i="2"/>
  <c r="J601" i="2" s="1"/>
  <c r="BG510" i="2"/>
  <c r="BG526" i="2" s="1"/>
  <c r="BF510" i="2"/>
  <c r="BF526" i="2" s="1"/>
  <c r="BE510" i="2"/>
  <c r="BE526" i="2" s="1"/>
  <c r="BD510" i="2"/>
  <c r="BD526" i="2" s="1"/>
  <c r="BB510" i="2"/>
  <c r="BB526" i="2" s="1"/>
  <c r="BA510" i="2"/>
  <c r="BA526" i="2" s="1"/>
  <c r="AZ510" i="2"/>
  <c r="AZ526" i="2" s="1"/>
  <c r="AY510" i="2"/>
  <c r="AW510" i="2"/>
  <c r="AV510" i="2"/>
  <c r="AT510" i="2"/>
  <c r="AQ510" i="2"/>
  <c r="AO510" i="2"/>
  <c r="AJ510" i="2"/>
  <c r="AH510" i="2"/>
  <c r="AE510" i="2"/>
  <c r="AC510" i="2"/>
  <c r="X510" i="2"/>
  <c r="X526" i="2" s="1"/>
  <c r="V510" i="2"/>
  <c r="V526" i="2" s="1"/>
  <c r="S510" i="2"/>
  <c r="S526" i="2" s="1"/>
  <c r="Q510" i="2"/>
  <c r="Q526" i="2" s="1"/>
  <c r="L510" i="2"/>
  <c r="L526" i="2" s="1"/>
  <c r="G510" i="2"/>
  <c r="G526" i="2" s="1"/>
  <c r="E510" i="2"/>
  <c r="E526" i="2" s="1"/>
  <c r="BC509" i="2"/>
  <c r="AX509" i="2"/>
  <c r="AS509" i="2"/>
  <c r="AS599" i="2" s="1"/>
  <c r="AN509" i="2"/>
  <c r="AN599" i="2" s="1"/>
  <c r="AI509" i="2"/>
  <c r="AI599" i="2" s="1"/>
  <c r="AD509" i="2"/>
  <c r="AD599" i="2" s="1"/>
  <c r="Y509" i="2"/>
  <c r="Y599" i="2" s="1"/>
  <c r="T509" i="2"/>
  <c r="T599" i="2" s="1"/>
  <c r="O509" i="2"/>
  <c r="O599" i="2" s="1"/>
  <c r="J509" i="2"/>
  <c r="J599" i="2" s="1"/>
  <c r="AS508" i="2"/>
  <c r="AS598" i="2" s="1"/>
  <c r="AN508" i="2"/>
  <c r="AN598" i="2" s="1"/>
  <c r="AI508" i="2"/>
  <c r="AI598" i="2" s="1"/>
  <c r="BC506" i="2"/>
  <c r="AX506" i="2"/>
  <c r="AS506" i="2"/>
  <c r="AS596" i="2" s="1"/>
  <c r="AN506" i="2"/>
  <c r="AN596" i="2" s="1"/>
  <c r="AI506" i="2"/>
  <c r="AI596" i="2" s="1"/>
  <c r="AD506" i="2"/>
  <c r="AD596" i="2" s="1"/>
  <c r="Y506" i="2"/>
  <c r="Y596" i="2" s="1"/>
  <c r="T506" i="2"/>
  <c r="T596" i="2" s="1"/>
  <c r="O506" i="2"/>
  <c r="O596" i="2" s="1"/>
  <c r="J506" i="2"/>
  <c r="J596" i="2" s="1"/>
  <c r="BC505" i="2"/>
  <c r="AX505" i="2"/>
  <c r="AS505" i="2"/>
  <c r="AS595" i="2" s="1"/>
  <c r="AN505" i="2"/>
  <c r="AN595" i="2" s="1"/>
  <c r="AI505" i="2"/>
  <c r="AI595" i="2" s="1"/>
  <c r="AD505" i="2"/>
  <c r="AD595" i="2" s="1"/>
  <c r="Y505" i="2"/>
  <c r="Y595" i="2" s="1"/>
  <c r="T505" i="2"/>
  <c r="T595" i="2" s="1"/>
  <c r="O505" i="2"/>
  <c r="O595" i="2" s="1"/>
  <c r="J505" i="2"/>
  <c r="J595" i="2" s="1"/>
  <c r="BC504" i="2"/>
  <c r="BC510" i="2" s="1"/>
  <c r="AX504" i="2"/>
  <c r="AX510" i="2" s="1"/>
  <c r="AS504" i="2"/>
  <c r="AS594" i="2" s="1"/>
  <c r="AN504" i="2"/>
  <c r="AN594" i="2" s="1"/>
  <c r="AI504" i="2"/>
  <c r="AI594" i="2" s="1"/>
  <c r="AD504" i="2"/>
  <c r="AD594" i="2" s="1"/>
  <c r="Y504" i="2"/>
  <c r="Y594" i="2" s="1"/>
  <c r="T504" i="2"/>
  <c r="T594" i="2" s="1"/>
  <c r="O504" i="2"/>
  <c r="O594" i="2" s="1"/>
  <c r="J504" i="2"/>
  <c r="J594" i="2" s="1"/>
  <c r="AU503" i="2"/>
  <c r="AV593" i="2" s="1"/>
  <c r="AV600" i="2" s="1"/>
  <c r="AT503" i="2"/>
  <c r="AR503" i="2"/>
  <c r="AR510" i="2" s="1"/>
  <c r="AQ503" i="2"/>
  <c r="AP503" i="2"/>
  <c r="AP510" i="2" s="1"/>
  <c r="AO503" i="2"/>
  <c r="AN503" i="2"/>
  <c r="AN510" i="2" s="1"/>
  <c r="AM503" i="2"/>
  <c r="AM510" i="2" s="1"/>
  <c r="AL503" i="2"/>
  <c r="AL510" i="2" s="1"/>
  <c r="AK503" i="2"/>
  <c r="AK510" i="2" s="1"/>
  <c r="AK526" i="2" s="1"/>
  <c r="AJ503" i="2"/>
  <c r="AH503" i="2"/>
  <c r="AG503" i="2"/>
  <c r="AG510" i="2" s="1"/>
  <c r="AF503" i="2"/>
  <c r="AF510" i="2" s="1"/>
  <c r="AE503" i="2"/>
  <c r="AC503" i="2"/>
  <c r="AB503" i="2"/>
  <c r="AB510" i="2" s="1"/>
  <c r="AA503" i="2"/>
  <c r="AA510" i="2" s="1"/>
  <c r="Z503" i="2"/>
  <c r="Z510" i="2" s="1"/>
  <c r="Z526" i="2" s="1"/>
  <c r="X503" i="2"/>
  <c r="W503" i="2"/>
  <c r="W510" i="2" s="1"/>
  <c r="W526" i="2" s="1"/>
  <c r="V503" i="2"/>
  <c r="U503" i="2"/>
  <c r="U510" i="2" s="1"/>
  <c r="U526" i="2" s="1"/>
  <c r="S503" i="2"/>
  <c r="R503" i="2"/>
  <c r="R510" i="2" s="1"/>
  <c r="R526" i="2" s="1"/>
  <c r="Q503" i="2"/>
  <c r="P503" i="2"/>
  <c r="P510" i="2" s="1"/>
  <c r="P526" i="2" s="1"/>
  <c r="N503" i="2"/>
  <c r="N510" i="2" s="1"/>
  <c r="N526" i="2" s="1"/>
  <c r="M503" i="2"/>
  <c r="M510" i="2" s="1"/>
  <c r="M526" i="2" s="1"/>
  <c r="L503" i="2"/>
  <c r="K503" i="2"/>
  <c r="K510" i="2" s="1"/>
  <c r="K526" i="2" s="1"/>
  <c r="I503" i="2"/>
  <c r="I510" i="2" s="1"/>
  <c r="I526" i="2" s="1"/>
  <c r="H503" i="2"/>
  <c r="H510" i="2" s="1"/>
  <c r="H526" i="2" s="1"/>
  <c r="G503" i="2"/>
  <c r="F503" i="2"/>
  <c r="F510" i="2" s="1"/>
  <c r="F526" i="2" s="1"/>
  <c r="E503" i="2"/>
  <c r="D503" i="2"/>
  <c r="D510" i="2" s="1"/>
  <c r="D526" i="2" s="1"/>
  <c r="C503" i="2"/>
  <c r="C510" i="2" s="1"/>
  <c r="C526" i="2" s="1"/>
  <c r="BC502" i="2"/>
  <c r="AX502" i="2"/>
  <c r="AS502" i="2"/>
  <c r="AS592" i="2" s="1"/>
  <c r="AN502" i="2"/>
  <c r="AN592" i="2" s="1"/>
  <c r="AI502" i="2"/>
  <c r="AI592" i="2" s="1"/>
  <c r="AD502" i="2"/>
  <c r="AD592" i="2" s="1"/>
  <c r="Y502" i="2"/>
  <c r="Y592" i="2" s="1"/>
  <c r="T502" i="2"/>
  <c r="T592" i="2" s="1"/>
  <c r="O502" i="2"/>
  <c r="O592" i="2" s="1"/>
  <c r="J502" i="2"/>
  <c r="J592" i="2" s="1"/>
  <c r="BC501" i="2"/>
  <c r="AX501" i="2"/>
  <c r="AS501" i="2"/>
  <c r="AS591" i="2" s="1"/>
  <c r="AN501" i="2"/>
  <c r="AN591" i="2" s="1"/>
  <c r="AI501" i="2"/>
  <c r="AI591" i="2" s="1"/>
  <c r="AD501" i="2"/>
  <c r="AD591" i="2" s="1"/>
  <c r="Y501" i="2"/>
  <c r="Y591" i="2" s="1"/>
  <c r="T501" i="2"/>
  <c r="T591" i="2" s="1"/>
  <c r="O501" i="2"/>
  <c r="O591" i="2" s="1"/>
  <c r="J501" i="2"/>
  <c r="J591" i="2" s="1"/>
  <c r="AS500" i="2"/>
  <c r="AS590" i="2" s="1"/>
  <c r="AN500" i="2"/>
  <c r="AN590" i="2" s="1"/>
  <c r="AI500" i="2"/>
  <c r="AI590" i="2" s="1"/>
  <c r="AI593" i="2" s="1"/>
  <c r="AD500" i="2"/>
  <c r="AD590" i="2" s="1"/>
  <c r="Y500" i="2"/>
  <c r="Y590" i="2" s="1"/>
  <c r="Y593" i="2" s="1"/>
  <c r="T500" i="2"/>
  <c r="T590" i="2" s="1"/>
  <c r="O500" i="2"/>
  <c r="O590" i="2" s="1"/>
  <c r="J500" i="2"/>
  <c r="J590" i="2" s="1"/>
  <c r="J593" i="2" s="1"/>
  <c r="BC499" i="2"/>
  <c r="AX499" i="2"/>
  <c r="AS499" i="2"/>
  <c r="AS589" i="2" s="1"/>
  <c r="AN499" i="2"/>
  <c r="AN589" i="2" s="1"/>
  <c r="AI499" i="2"/>
  <c r="AI589" i="2" s="1"/>
  <c r="AD499" i="2"/>
  <c r="AD589" i="2" s="1"/>
  <c r="Y499" i="2"/>
  <c r="Y589" i="2" s="1"/>
  <c r="T499" i="2"/>
  <c r="T589" i="2" s="1"/>
  <c r="O499" i="2"/>
  <c r="O589" i="2" s="1"/>
  <c r="J499" i="2"/>
  <c r="J589" i="2" s="1"/>
  <c r="AS498" i="2"/>
  <c r="AS588" i="2" s="1"/>
  <c r="AN498" i="2"/>
  <c r="AN588" i="2" s="1"/>
  <c r="AS497" i="2"/>
  <c r="AS587" i="2" s="1"/>
  <c r="AN497" i="2"/>
  <c r="AN587" i="2" s="1"/>
  <c r="AI497" i="2"/>
  <c r="AI587" i="2" s="1"/>
  <c r="AD497" i="2"/>
  <c r="AD587" i="2" s="1"/>
  <c r="Y497" i="2"/>
  <c r="Y587" i="2" s="1"/>
  <c r="BC496" i="2"/>
  <c r="AX496" i="2"/>
  <c r="AS496" i="2"/>
  <c r="AS586" i="2" s="1"/>
  <c r="AN496" i="2"/>
  <c r="AN586" i="2" s="1"/>
  <c r="AI496" i="2"/>
  <c r="AI586" i="2" s="1"/>
  <c r="AD496" i="2"/>
  <c r="AD586" i="2" s="1"/>
  <c r="Y496" i="2"/>
  <c r="Y586" i="2" s="1"/>
  <c r="T496" i="2"/>
  <c r="T586" i="2" s="1"/>
  <c r="O496" i="2"/>
  <c r="O586" i="2" s="1"/>
  <c r="J496" i="2"/>
  <c r="J586" i="2" s="1"/>
  <c r="BC495" i="2"/>
  <c r="AX495" i="2"/>
  <c r="AS495" i="2"/>
  <c r="AS585" i="2" s="1"/>
  <c r="AN495" i="2"/>
  <c r="AN585" i="2" s="1"/>
  <c r="AI495" i="2"/>
  <c r="AI585" i="2" s="1"/>
  <c r="AD495" i="2"/>
  <c r="AD585" i="2" s="1"/>
  <c r="Y495" i="2"/>
  <c r="Y585" i="2" s="1"/>
  <c r="T495" i="2"/>
  <c r="T585" i="2" s="1"/>
  <c r="O495" i="2"/>
  <c r="O585" i="2" s="1"/>
  <c r="J495" i="2"/>
  <c r="J585" i="2" s="1"/>
  <c r="BC494" i="2"/>
  <c r="AX494" i="2"/>
  <c r="AS494" i="2"/>
  <c r="AS584" i="2" s="1"/>
  <c r="AN494" i="2"/>
  <c r="AN584" i="2" s="1"/>
  <c r="AI494" i="2"/>
  <c r="AI584" i="2" s="1"/>
  <c r="AD494" i="2"/>
  <c r="AD584" i="2" s="1"/>
  <c r="Y494" i="2"/>
  <c r="Y584" i="2" s="1"/>
  <c r="T494" i="2"/>
  <c r="T584" i="2" s="1"/>
  <c r="O494" i="2"/>
  <c r="O584" i="2" s="1"/>
  <c r="J494" i="2"/>
  <c r="J584" i="2" s="1"/>
  <c r="AZ490" i="2"/>
  <c r="AY490" i="2"/>
  <c r="AX490" i="2"/>
  <c r="AW490" i="2"/>
  <c r="AV490" i="2"/>
  <c r="AU490" i="2"/>
  <c r="AT490" i="2"/>
  <c r="AS490" i="2"/>
  <c r="AR490" i="2"/>
  <c r="AQ490" i="2"/>
  <c r="AP490" i="2"/>
  <c r="AO490" i="2"/>
  <c r="AN490" i="2"/>
  <c r="AM490" i="2"/>
  <c r="AL490" i="2"/>
  <c r="AK490" i="2"/>
  <c r="AJ490" i="2"/>
  <c r="AI490" i="2"/>
  <c r="AH490" i="2"/>
  <c r="AG490" i="2"/>
  <c r="AF490" i="2"/>
  <c r="AE490" i="2"/>
  <c r="AD490" i="2"/>
  <c r="AC490" i="2"/>
  <c r="AB490" i="2"/>
  <c r="AA490" i="2"/>
  <c r="Z490" i="2"/>
  <c r="Y490" i="2"/>
  <c r="X490" i="2"/>
  <c r="W490" i="2"/>
  <c r="V490" i="2"/>
  <c r="U490" i="2"/>
  <c r="T490" i="2"/>
  <c r="S490" i="2"/>
  <c r="R490" i="2"/>
  <c r="Q490" i="2"/>
  <c r="P490" i="2"/>
  <c r="O490" i="2"/>
  <c r="N490" i="2"/>
  <c r="M490" i="2"/>
  <c r="L490" i="2"/>
  <c r="K490" i="2"/>
  <c r="J490" i="2"/>
  <c r="I490" i="2"/>
  <c r="H490" i="2"/>
  <c r="G490" i="2"/>
  <c r="F490" i="2"/>
  <c r="E490" i="2"/>
  <c r="D490" i="2"/>
  <c r="C490" i="2"/>
  <c r="BG488" i="2"/>
  <c r="BF488" i="2"/>
  <c r="BE488" i="2"/>
  <c r="BD488" i="2"/>
  <c r="BC488" i="2"/>
  <c r="BB488" i="2"/>
  <c r="BA488" i="2"/>
  <c r="AZ488" i="2"/>
  <c r="AY488" i="2"/>
  <c r="AY9" i="5" s="1"/>
  <c r="AX488" i="2"/>
  <c r="AW488" i="2"/>
  <c r="AW9" i="5" s="1"/>
  <c r="AV488" i="2"/>
  <c r="AV9" i="5" s="1"/>
  <c r="AU488" i="2"/>
  <c r="AU9" i="5" s="1"/>
  <c r="AT488" i="2"/>
  <c r="AT9" i="5" s="1"/>
  <c r="AS488" i="2"/>
  <c r="AS9" i="5" s="1"/>
  <c r="AR488" i="2"/>
  <c r="AR9" i="5" s="1"/>
  <c r="AQ488" i="2"/>
  <c r="AQ9" i="5" s="1"/>
  <c r="AP488" i="2"/>
  <c r="AP9" i="5" s="1"/>
  <c r="AO488" i="2"/>
  <c r="AO9" i="5" s="1"/>
  <c r="AN488" i="2"/>
  <c r="AM488" i="2"/>
  <c r="AM9" i="5" s="1"/>
  <c r="AL488" i="2"/>
  <c r="AK488" i="2"/>
  <c r="AK9" i="5" s="1"/>
  <c r="AJ488" i="2"/>
  <c r="AJ9" i="5" s="1"/>
  <c r="AI488" i="2"/>
  <c r="AI9" i="5" s="1"/>
  <c r="AH488" i="2"/>
  <c r="AH9" i="5" s="1"/>
  <c r="AG488" i="2"/>
  <c r="AG9" i="5" s="1"/>
  <c r="AF488" i="2"/>
  <c r="AF9" i="5" s="1"/>
  <c r="AE488" i="2"/>
  <c r="AE9" i="5" s="1"/>
  <c r="AD488" i="2"/>
  <c r="AD9" i="5" s="1"/>
  <c r="AC488" i="2"/>
  <c r="AC9" i="5" s="1"/>
  <c r="AB488" i="2"/>
  <c r="AA488" i="2"/>
  <c r="AA9" i="5" s="1"/>
  <c r="Z488" i="2"/>
  <c r="Y488" i="2"/>
  <c r="Y9" i="5" s="1"/>
  <c r="X488" i="2"/>
  <c r="X9" i="5" s="1"/>
  <c r="W488" i="2"/>
  <c r="W9" i="5" s="1"/>
  <c r="V488" i="2"/>
  <c r="V9" i="5" s="1"/>
  <c r="U488" i="2"/>
  <c r="U9" i="5" s="1"/>
  <c r="T488" i="2"/>
  <c r="T9" i="5" s="1"/>
  <c r="S488" i="2"/>
  <c r="S9" i="5" s="1"/>
  <c r="R488" i="2"/>
  <c r="R9" i="5" s="1"/>
  <c r="Q488" i="2"/>
  <c r="Q9" i="5" s="1"/>
  <c r="P488" i="2"/>
  <c r="O488" i="2"/>
  <c r="O9" i="5" s="1"/>
  <c r="N488" i="2"/>
  <c r="M488" i="2"/>
  <c r="M9" i="5" s="1"/>
  <c r="L488" i="2"/>
  <c r="L9" i="5" s="1"/>
  <c r="K488" i="2"/>
  <c r="K9" i="5" s="1"/>
  <c r="J488" i="2"/>
  <c r="J9" i="5" s="1"/>
  <c r="I488" i="2"/>
  <c r="I9" i="5" s="1"/>
  <c r="H488" i="2"/>
  <c r="H9" i="5" s="1"/>
  <c r="G488" i="2"/>
  <c r="G9" i="5" s="1"/>
  <c r="F488" i="2"/>
  <c r="F9" i="5" s="1"/>
  <c r="E488" i="2"/>
  <c r="E9" i="5" s="1"/>
  <c r="D488" i="2"/>
  <c r="C488" i="2"/>
  <c r="BG483" i="2"/>
  <c r="BF483" i="2"/>
  <c r="BE483" i="2"/>
  <c r="BD483" i="2"/>
  <c r="BC483" i="2"/>
  <c r="BB483" i="2"/>
  <c r="BA483" i="2"/>
  <c r="AZ483" i="2"/>
  <c r="AY483" i="2"/>
  <c r="AX483" i="2"/>
  <c r="BG482" i="2"/>
  <c r="BF482" i="2"/>
  <c r="BE482" i="2"/>
  <c r="BD482" i="2"/>
  <c r="BC482" i="2"/>
  <c r="BB482" i="2"/>
  <c r="BA482" i="2"/>
  <c r="AZ482" i="2"/>
  <c r="AY482" i="2"/>
  <c r="AX482" i="2"/>
  <c r="BG481" i="2"/>
  <c r="BF481" i="2"/>
  <c r="BE481" i="2"/>
  <c r="BD481" i="2"/>
  <c r="BC481" i="2"/>
  <c r="BB481" i="2"/>
  <c r="BA481" i="2"/>
  <c r="AZ481" i="2"/>
  <c r="AY481" i="2"/>
  <c r="AX481" i="2"/>
  <c r="A479" i="2"/>
  <c r="A478" i="2"/>
  <c r="A477" i="2"/>
  <c r="A476" i="2"/>
  <c r="A834" i="2" s="1"/>
  <c r="A475" i="2"/>
  <c r="A474" i="2"/>
  <c r="A835" i="2" s="1"/>
  <c r="A472" i="2"/>
  <c r="A471" i="2"/>
  <c r="A470" i="2"/>
  <c r="AM456" i="2"/>
  <c r="AA456" i="2"/>
  <c r="O456" i="2"/>
  <c r="C456" i="2"/>
  <c r="AX455" i="2"/>
  <c r="AW455" i="2"/>
  <c r="AW456" i="2" s="1"/>
  <c r="AV455" i="2"/>
  <c r="AV456" i="2" s="1"/>
  <c r="AU455" i="2"/>
  <c r="AU456" i="2" s="1"/>
  <c r="AT455" i="2"/>
  <c r="AT456" i="2" s="1"/>
  <c r="AS455" i="2"/>
  <c r="AR455" i="2"/>
  <c r="AQ455" i="2"/>
  <c r="AP455" i="2"/>
  <c r="AO455" i="2"/>
  <c r="AN455" i="2"/>
  <c r="AN456" i="2" s="1"/>
  <c r="AM455" i="2"/>
  <c r="AL455" i="2"/>
  <c r="AL456" i="2" s="1"/>
  <c r="AK455" i="2"/>
  <c r="AK456" i="2" s="1"/>
  <c r="AJ455" i="2"/>
  <c r="AJ456" i="2" s="1"/>
  <c r="AI455" i="2"/>
  <c r="AI456" i="2" s="1"/>
  <c r="AH455" i="2"/>
  <c r="AH456" i="2" s="1"/>
  <c r="AG455" i="2"/>
  <c r="AF455" i="2"/>
  <c r="AE455" i="2"/>
  <c r="AD455" i="2"/>
  <c r="AC455" i="2"/>
  <c r="AB455" i="2"/>
  <c r="AB456" i="2" s="1"/>
  <c r="AA455" i="2"/>
  <c r="Z455" i="2"/>
  <c r="Z456" i="2" s="1"/>
  <c r="Y455" i="2"/>
  <c r="Y456" i="2" s="1"/>
  <c r="X455" i="2"/>
  <c r="X456" i="2" s="1"/>
  <c r="W455" i="2"/>
  <c r="W456" i="2" s="1"/>
  <c r="V455" i="2"/>
  <c r="V456" i="2" s="1"/>
  <c r="U455" i="2"/>
  <c r="T455" i="2"/>
  <c r="S455" i="2"/>
  <c r="R455" i="2"/>
  <c r="Q455" i="2"/>
  <c r="P455" i="2"/>
  <c r="P456" i="2" s="1"/>
  <c r="O455" i="2"/>
  <c r="N455" i="2"/>
  <c r="N456" i="2" s="1"/>
  <c r="M455" i="2"/>
  <c r="M456" i="2" s="1"/>
  <c r="L455" i="2"/>
  <c r="L456" i="2" s="1"/>
  <c r="K455" i="2"/>
  <c r="K456" i="2" s="1"/>
  <c r="J455" i="2"/>
  <c r="J456" i="2" s="1"/>
  <c r="I455" i="2"/>
  <c r="H455" i="2"/>
  <c r="G455" i="2"/>
  <c r="F455" i="2"/>
  <c r="E455" i="2"/>
  <c r="D455" i="2"/>
  <c r="D456" i="2" s="1"/>
  <c r="C455" i="2"/>
  <c r="C796" i="2" s="1"/>
  <c r="AW454" i="2"/>
  <c r="AX454" i="2" s="1"/>
  <c r="AX767" i="2" s="1"/>
  <c r="AY767" i="2" s="1"/>
  <c r="AY454" i="2" s="1"/>
  <c r="AZ454" i="2" s="1"/>
  <c r="AV454" i="2"/>
  <c r="AU454" i="2"/>
  <c r="AT454" i="2"/>
  <c r="AS454" i="2"/>
  <c r="AR454" i="2"/>
  <c r="AQ454" i="2"/>
  <c r="AP454" i="2"/>
  <c r="AO454" i="2"/>
  <c r="AN454" i="2"/>
  <c r="AM454" i="2"/>
  <c r="AL454" i="2"/>
  <c r="AK454" i="2"/>
  <c r="AJ454" i="2"/>
  <c r="AI454" i="2"/>
  <c r="AH454" i="2"/>
  <c r="AG454" i="2"/>
  <c r="AF454" i="2"/>
  <c r="AE454" i="2"/>
  <c r="AD454" i="2"/>
  <c r="AC454" i="2"/>
  <c r="AB454" i="2"/>
  <c r="AA454" i="2"/>
  <c r="Z454" i="2"/>
  <c r="Y454" i="2"/>
  <c r="X454" i="2"/>
  <c r="W454" i="2"/>
  <c r="V454" i="2"/>
  <c r="U454" i="2"/>
  <c r="T454" i="2"/>
  <c r="S454" i="2"/>
  <c r="R454" i="2"/>
  <c r="Q454" i="2"/>
  <c r="P454" i="2"/>
  <c r="O454" i="2"/>
  <c r="N454" i="2"/>
  <c r="M454" i="2"/>
  <c r="L454" i="2"/>
  <c r="K454" i="2"/>
  <c r="J454" i="2"/>
  <c r="I454" i="2"/>
  <c r="H454" i="2"/>
  <c r="G454" i="2"/>
  <c r="F454" i="2"/>
  <c r="E454" i="2"/>
  <c r="D454" i="2"/>
  <c r="C454" i="2"/>
  <c r="AW453" i="2"/>
  <c r="AV453" i="2"/>
  <c r="AU453" i="2"/>
  <c r="AT453" i="2"/>
  <c r="AS453" i="2"/>
  <c r="AR453" i="2"/>
  <c r="AQ453" i="2"/>
  <c r="AP453" i="2"/>
  <c r="AO453" i="2"/>
  <c r="AN453" i="2"/>
  <c r="AM453" i="2"/>
  <c r="AL453" i="2"/>
  <c r="AK453" i="2"/>
  <c r="AJ453" i="2"/>
  <c r="AI453" i="2"/>
  <c r="AH453" i="2"/>
  <c r="AG453" i="2"/>
  <c r="AF453" i="2"/>
  <c r="AE453" i="2"/>
  <c r="AD453" i="2"/>
  <c r="AC453" i="2"/>
  <c r="AB453" i="2"/>
  <c r="AA453" i="2"/>
  <c r="Z453" i="2"/>
  <c r="Y453" i="2"/>
  <c r="X453" i="2"/>
  <c r="W453" i="2"/>
  <c r="V453" i="2"/>
  <c r="U453" i="2"/>
  <c r="T453" i="2"/>
  <c r="S453" i="2"/>
  <c r="R453" i="2"/>
  <c r="Q453" i="2"/>
  <c r="P453" i="2"/>
  <c r="O453" i="2"/>
  <c r="N453" i="2"/>
  <c r="M453" i="2"/>
  <c r="L453" i="2"/>
  <c r="K453" i="2"/>
  <c r="J453" i="2"/>
  <c r="I453" i="2"/>
  <c r="H453" i="2"/>
  <c r="G453" i="2"/>
  <c r="F453" i="2"/>
  <c r="E453" i="2"/>
  <c r="D453" i="2"/>
  <c r="C453" i="2"/>
  <c r="AW452" i="2"/>
  <c r="AV452" i="2"/>
  <c r="AU452" i="2"/>
  <c r="AT452" i="2"/>
  <c r="AS452" i="2"/>
  <c r="AR452" i="2"/>
  <c r="AQ452" i="2"/>
  <c r="AP452" i="2"/>
  <c r="AO452" i="2"/>
  <c r="AN452" i="2"/>
  <c r="AM452" i="2"/>
  <c r="AL452" i="2"/>
  <c r="AK452" i="2"/>
  <c r="AJ452" i="2"/>
  <c r="AI452" i="2"/>
  <c r="AH452" i="2"/>
  <c r="AG452" i="2"/>
  <c r="AF452" i="2"/>
  <c r="AE452" i="2"/>
  <c r="AD452" i="2"/>
  <c r="AC452" i="2"/>
  <c r="AB452" i="2"/>
  <c r="AA452" i="2"/>
  <c r="Z452" i="2"/>
  <c r="Y452" i="2"/>
  <c r="X452" i="2"/>
  <c r="W452" i="2"/>
  <c r="V452" i="2"/>
  <c r="U452" i="2"/>
  <c r="T452" i="2"/>
  <c r="S452" i="2"/>
  <c r="R452" i="2"/>
  <c r="Q452" i="2"/>
  <c r="P452" i="2"/>
  <c r="O452" i="2"/>
  <c r="N452" i="2"/>
  <c r="M452" i="2"/>
  <c r="L452" i="2"/>
  <c r="K452" i="2"/>
  <c r="J452" i="2"/>
  <c r="I452" i="2"/>
  <c r="H452" i="2"/>
  <c r="G452" i="2"/>
  <c r="F452" i="2"/>
  <c r="E452" i="2"/>
  <c r="D452" i="2"/>
  <c r="C452" i="2"/>
  <c r="C795" i="2" s="1"/>
  <c r="AM446" i="2"/>
  <c r="AM447" i="2" s="1"/>
  <c r="AM448" i="2" s="1"/>
  <c r="AM449" i="2" s="1"/>
  <c r="AG446" i="2"/>
  <c r="AG447" i="2" s="1"/>
  <c r="AG448" i="2" s="1"/>
  <c r="AG449" i="2" s="1"/>
  <c r="AA446" i="2"/>
  <c r="AA447" i="2" s="1"/>
  <c r="AA448" i="2" s="1"/>
  <c r="AA449" i="2" s="1"/>
  <c r="U446" i="2"/>
  <c r="U447" i="2" s="1"/>
  <c r="U448" i="2" s="1"/>
  <c r="U449" i="2" s="1"/>
  <c r="I446" i="2"/>
  <c r="I447" i="2" s="1"/>
  <c r="I448" i="2" s="1"/>
  <c r="I449" i="2" s="1"/>
  <c r="C446" i="2"/>
  <c r="C447" i="2" s="1"/>
  <c r="C448" i="2" s="1"/>
  <c r="C449" i="2" s="1"/>
  <c r="BD444" i="2"/>
  <c r="AY444" i="2"/>
  <c r="BD443" i="2"/>
  <c r="BD70" i="5" s="1"/>
  <c r="AY443" i="2"/>
  <c r="AY70" i="5" s="1"/>
  <c r="AW443" i="2"/>
  <c r="AW70" i="5" s="1"/>
  <c r="AV443" i="2"/>
  <c r="AV70" i="5" s="1"/>
  <c r="AU443" i="2"/>
  <c r="AU70" i="5" s="1"/>
  <c r="AT443" i="2"/>
  <c r="AT70" i="5" s="1"/>
  <c r="AS443" i="2"/>
  <c r="AS70" i="5" s="1"/>
  <c r="AR443" i="2"/>
  <c r="AR70" i="5" s="1"/>
  <c r="AQ443" i="2"/>
  <c r="AQ70" i="5" s="1"/>
  <c r="AP443" i="2"/>
  <c r="AP70" i="5" s="1"/>
  <c r="AO443" i="2"/>
  <c r="AO70" i="5" s="1"/>
  <c r="AN443" i="2"/>
  <c r="AN70" i="5" s="1"/>
  <c r="AM443" i="2"/>
  <c r="AM70" i="5" s="1"/>
  <c r="AL443" i="2"/>
  <c r="AL70" i="5" s="1"/>
  <c r="AK443" i="2"/>
  <c r="AK70" i="5" s="1"/>
  <c r="AJ443" i="2"/>
  <c r="AJ70" i="5" s="1"/>
  <c r="AI443" i="2"/>
  <c r="AI70" i="5" s="1"/>
  <c r="AH443" i="2"/>
  <c r="AH70" i="5" s="1"/>
  <c r="AG443" i="2"/>
  <c r="AG70" i="5" s="1"/>
  <c r="AF443" i="2"/>
  <c r="AF70" i="5" s="1"/>
  <c r="AE443" i="2"/>
  <c r="AE70" i="5" s="1"/>
  <c r="AD443" i="2"/>
  <c r="AD70" i="5" s="1"/>
  <c r="AC443" i="2"/>
  <c r="AC70" i="5" s="1"/>
  <c r="AB443" i="2"/>
  <c r="AB70" i="5" s="1"/>
  <c r="AA443" i="2"/>
  <c r="AA70" i="5" s="1"/>
  <c r="Z443" i="2"/>
  <c r="Z70" i="5" s="1"/>
  <c r="Y443" i="2"/>
  <c r="Y70" i="5" s="1"/>
  <c r="X443" i="2"/>
  <c r="X70" i="5" s="1"/>
  <c r="W443" i="2"/>
  <c r="W70" i="5" s="1"/>
  <c r="V443" i="2"/>
  <c r="V70" i="5" s="1"/>
  <c r="U443" i="2"/>
  <c r="U70" i="5" s="1"/>
  <c r="T443" i="2"/>
  <c r="T70" i="5" s="1"/>
  <c r="S443" i="2"/>
  <c r="S70" i="5" s="1"/>
  <c r="R443" i="2"/>
  <c r="R70" i="5" s="1"/>
  <c r="Q443" i="2"/>
  <c r="Q70" i="5" s="1"/>
  <c r="P443" i="2"/>
  <c r="P70" i="5" s="1"/>
  <c r="O443" i="2"/>
  <c r="O70" i="5" s="1"/>
  <c r="N443" i="2"/>
  <c r="N70" i="5" s="1"/>
  <c r="M443" i="2"/>
  <c r="M70" i="5" s="1"/>
  <c r="L443" i="2"/>
  <c r="L70" i="5" s="1"/>
  <c r="K443" i="2"/>
  <c r="K70" i="5" s="1"/>
  <c r="J443" i="2"/>
  <c r="J70" i="5" s="1"/>
  <c r="I443" i="2"/>
  <c r="I70" i="5" s="1"/>
  <c r="H443" i="2"/>
  <c r="H70" i="5" s="1"/>
  <c r="G443" i="2"/>
  <c r="G70" i="5" s="1"/>
  <c r="F443" i="2"/>
  <c r="F70" i="5" s="1"/>
  <c r="E443" i="2"/>
  <c r="E70" i="5" s="1"/>
  <c r="D443" i="2"/>
  <c r="D70" i="5" s="1"/>
  <c r="C443" i="2"/>
  <c r="C70" i="5" s="1"/>
  <c r="BD442" i="2"/>
  <c r="BD71" i="5" s="1"/>
  <c r="AW442" i="2"/>
  <c r="AW71" i="5" s="1"/>
  <c r="AV442" i="2"/>
  <c r="AV71" i="5" s="1"/>
  <c r="AU442" i="2"/>
  <c r="AU71" i="5" s="1"/>
  <c r="AT442" i="2"/>
  <c r="AT71" i="5" s="1"/>
  <c r="AS442" i="2"/>
  <c r="AS71" i="5" s="1"/>
  <c r="AR442" i="2"/>
  <c r="AR71" i="5" s="1"/>
  <c r="AQ442" i="2"/>
  <c r="AQ71" i="5" s="1"/>
  <c r="AP442" i="2"/>
  <c r="AP71" i="5" s="1"/>
  <c r="AO442" i="2"/>
  <c r="AO71" i="5" s="1"/>
  <c r="AN442" i="2"/>
  <c r="AN71" i="5" s="1"/>
  <c r="AM442" i="2"/>
  <c r="AM71" i="5" s="1"/>
  <c r="AL442" i="2"/>
  <c r="AL71" i="5" s="1"/>
  <c r="AK442" i="2"/>
  <c r="AK71" i="5" s="1"/>
  <c r="AJ442" i="2"/>
  <c r="AJ71" i="5" s="1"/>
  <c r="AI442" i="2"/>
  <c r="AI71" i="5" s="1"/>
  <c r="AH442" i="2"/>
  <c r="AH71" i="5" s="1"/>
  <c r="AG442" i="2"/>
  <c r="AG71" i="5" s="1"/>
  <c r="AF442" i="2"/>
  <c r="AF71" i="5" s="1"/>
  <c r="AE442" i="2"/>
  <c r="AE71" i="5" s="1"/>
  <c r="AD442" i="2"/>
  <c r="AD71" i="5" s="1"/>
  <c r="AC442" i="2"/>
  <c r="AC71" i="5" s="1"/>
  <c r="AB442" i="2"/>
  <c r="AB71" i="5" s="1"/>
  <c r="AA442" i="2"/>
  <c r="AA71" i="5" s="1"/>
  <c r="Z442" i="2"/>
  <c r="Z71" i="5" s="1"/>
  <c r="Y442" i="2"/>
  <c r="Y71" i="5" s="1"/>
  <c r="X442" i="2"/>
  <c r="X71" i="5" s="1"/>
  <c r="W442" i="2"/>
  <c r="W71" i="5" s="1"/>
  <c r="V442" i="2"/>
  <c r="V71" i="5" s="1"/>
  <c r="U442" i="2"/>
  <c r="U71" i="5" s="1"/>
  <c r="T442" i="2"/>
  <c r="T71" i="5" s="1"/>
  <c r="S442" i="2"/>
  <c r="S71" i="5" s="1"/>
  <c r="R442" i="2"/>
  <c r="R71" i="5" s="1"/>
  <c r="Q442" i="2"/>
  <c r="Q71" i="5" s="1"/>
  <c r="P442" i="2"/>
  <c r="P71" i="5" s="1"/>
  <c r="O442" i="2"/>
  <c r="O71" i="5" s="1"/>
  <c r="N442" i="2"/>
  <c r="N71" i="5" s="1"/>
  <c r="M442" i="2"/>
  <c r="M71" i="5" s="1"/>
  <c r="L442" i="2"/>
  <c r="L71" i="5" s="1"/>
  <c r="K442" i="2"/>
  <c r="K71" i="5" s="1"/>
  <c r="J442" i="2"/>
  <c r="J71" i="5" s="1"/>
  <c r="I442" i="2"/>
  <c r="I71" i="5" s="1"/>
  <c r="H442" i="2"/>
  <c r="H71" i="5" s="1"/>
  <c r="G442" i="2"/>
  <c r="G71" i="5" s="1"/>
  <c r="F442" i="2"/>
  <c r="F71" i="5" s="1"/>
  <c r="E442" i="2"/>
  <c r="E71" i="5" s="1"/>
  <c r="D442" i="2"/>
  <c r="D71" i="5" s="1"/>
  <c r="C442" i="2"/>
  <c r="C71" i="5" s="1"/>
  <c r="BD440" i="2"/>
  <c r="BD77" i="5" s="1"/>
  <c r="AY440" i="2"/>
  <c r="AY77" i="5" s="1"/>
  <c r="AT440" i="2"/>
  <c r="AT77" i="5" s="1"/>
  <c r="AO440" i="2"/>
  <c r="AO77" i="5" s="1"/>
  <c r="AJ440" i="2"/>
  <c r="AJ77" i="5" s="1"/>
  <c r="AE440" i="2"/>
  <c r="AE77" i="5" s="1"/>
  <c r="Z440" i="2"/>
  <c r="Z77" i="5" s="1"/>
  <c r="U440" i="2"/>
  <c r="U77" i="5" s="1"/>
  <c r="P440" i="2"/>
  <c r="P77" i="5" s="1"/>
  <c r="K440" i="2"/>
  <c r="K77" i="5" s="1"/>
  <c r="AW439" i="2"/>
  <c r="AW65" i="5" s="1"/>
  <c r="AV439" i="2"/>
  <c r="AV65" i="5" s="1"/>
  <c r="AU439" i="2"/>
  <c r="AU65" i="5" s="1"/>
  <c r="AT439" i="2"/>
  <c r="AT65" i="5" s="1"/>
  <c r="AS439" i="2"/>
  <c r="AS65" i="5" s="1"/>
  <c r="AR439" i="2"/>
  <c r="AR65" i="5" s="1"/>
  <c r="AQ439" i="2"/>
  <c r="AQ65" i="5" s="1"/>
  <c r="AP439" i="2"/>
  <c r="AP65" i="5" s="1"/>
  <c r="AO439" i="2"/>
  <c r="AO65" i="5" s="1"/>
  <c r="AN439" i="2"/>
  <c r="AN65" i="5" s="1"/>
  <c r="AM439" i="2"/>
  <c r="AM65" i="5" s="1"/>
  <c r="AL439" i="2"/>
  <c r="AL65" i="5" s="1"/>
  <c r="AK439" i="2"/>
  <c r="AK65" i="5" s="1"/>
  <c r="AJ439" i="2"/>
  <c r="AJ65" i="5" s="1"/>
  <c r="AI439" i="2"/>
  <c r="AI65" i="5" s="1"/>
  <c r="AH439" i="2"/>
  <c r="AH65" i="5" s="1"/>
  <c r="AG439" i="2"/>
  <c r="AG65" i="5" s="1"/>
  <c r="AF439" i="2"/>
  <c r="AF65" i="5" s="1"/>
  <c r="AE439" i="2"/>
  <c r="AE65" i="5" s="1"/>
  <c r="AD439" i="2"/>
  <c r="AD65" i="5" s="1"/>
  <c r="AC439" i="2"/>
  <c r="AC65" i="5" s="1"/>
  <c r="AB439" i="2"/>
  <c r="AB65" i="5" s="1"/>
  <c r="AA439" i="2"/>
  <c r="AA65" i="5" s="1"/>
  <c r="Z439" i="2"/>
  <c r="Z65" i="5" s="1"/>
  <c r="Y439" i="2"/>
  <c r="Y65" i="5" s="1"/>
  <c r="X439" i="2"/>
  <c r="X65" i="5" s="1"/>
  <c r="W439" i="2"/>
  <c r="W65" i="5" s="1"/>
  <c r="V439" i="2"/>
  <c r="V65" i="5" s="1"/>
  <c r="U439" i="2"/>
  <c r="U65" i="5" s="1"/>
  <c r="T439" i="2"/>
  <c r="T65" i="5" s="1"/>
  <c r="S439" i="2"/>
  <c r="S65" i="5" s="1"/>
  <c r="R439" i="2"/>
  <c r="R65" i="5" s="1"/>
  <c r="Q439" i="2"/>
  <c r="Q65" i="5" s="1"/>
  <c r="P439" i="2"/>
  <c r="P65" i="5" s="1"/>
  <c r="O439" i="2"/>
  <c r="O65" i="5" s="1"/>
  <c r="N439" i="2"/>
  <c r="N65" i="5" s="1"/>
  <c r="M439" i="2"/>
  <c r="M65" i="5" s="1"/>
  <c r="L439" i="2"/>
  <c r="L65" i="5" s="1"/>
  <c r="K439" i="2"/>
  <c r="K65" i="5" s="1"/>
  <c r="J439" i="2"/>
  <c r="J65" i="5" s="1"/>
  <c r="I439" i="2"/>
  <c r="I65" i="5" s="1"/>
  <c r="H439" i="2"/>
  <c r="H65" i="5" s="1"/>
  <c r="G439" i="2"/>
  <c r="G65" i="5" s="1"/>
  <c r="F439" i="2"/>
  <c r="F65" i="5" s="1"/>
  <c r="E439" i="2"/>
  <c r="E65" i="5" s="1"/>
  <c r="D439" i="2"/>
  <c r="D65" i="5" s="1"/>
  <c r="C439" i="2"/>
  <c r="C65" i="5" s="1"/>
  <c r="BD438" i="2"/>
  <c r="BD68" i="5" s="1"/>
  <c r="AY438" i="2"/>
  <c r="AY68" i="5" s="1"/>
  <c r="AW438" i="2"/>
  <c r="AW68" i="5" s="1"/>
  <c r="AV438" i="2"/>
  <c r="AV68" i="5" s="1"/>
  <c r="AU438" i="2"/>
  <c r="AU68" i="5" s="1"/>
  <c r="AT438" i="2"/>
  <c r="AT68" i="5" s="1"/>
  <c r="AS438" i="2"/>
  <c r="AS68" i="5" s="1"/>
  <c r="AR438" i="2"/>
  <c r="AR68" i="5" s="1"/>
  <c r="AQ438" i="2"/>
  <c r="AQ68" i="5" s="1"/>
  <c r="AP438" i="2"/>
  <c r="AP68" i="5" s="1"/>
  <c r="AO438" i="2"/>
  <c r="AO68" i="5" s="1"/>
  <c r="AN438" i="2"/>
  <c r="AN68" i="5" s="1"/>
  <c r="AM438" i="2"/>
  <c r="AM68" i="5" s="1"/>
  <c r="AL438" i="2"/>
  <c r="AL68" i="5" s="1"/>
  <c r="AK438" i="2"/>
  <c r="AK68" i="5" s="1"/>
  <c r="AJ438" i="2"/>
  <c r="AJ68" i="5" s="1"/>
  <c r="AI438" i="2"/>
  <c r="AI68" i="5" s="1"/>
  <c r="AH438" i="2"/>
  <c r="AH68" i="5" s="1"/>
  <c r="AG438" i="2"/>
  <c r="AG68" i="5" s="1"/>
  <c r="AF438" i="2"/>
  <c r="AF68" i="5" s="1"/>
  <c r="AE438" i="2"/>
  <c r="AE68" i="5" s="1"/>
  <c r="AD438" i="2"/>
  <c r="AD68" i="5" s="1"/>
  <c r="AC438" i="2"/>
  <c r="AC68" i="5" s="1"/>
  <c r="AB438" i="2"/>
  <c r="AB68" i="5" s="1"/>
  <c r="AA438" i="2"/>
  <c r="AA68" i="5" s="1"/>
  <c r="Z438" i="2"/>
  <c r="Z68" i="5" s="1"/>
  <c r="Y438" i="2"/>
  <c r="Y68" i="5" s="1"/>
  <c r="X438" i="2"/>
  <c r="X68" i="5" s="1"/>
  <c r="W438" i="2"/>
  <c r="W68" i="5" s="1"/>
  <c r="V438" i="2"/>
  <c r="V68" i="5" s="1"/>
  <c r="U438" i="2"/>
  <c r="U68" i="5" s="1"/>
  <c r="T438" i="2"/>
  <c r="T68" i="5" s="1"/>
  <c r="S438" i="2"/>
  <c r="S68" i="5" s="1"/>
  <c r="R438" i="2"/>
  <c r="R68" i="5" s="1"/>
  <c r="Q438" i="2"/>
  <c r="Q68" i="5" s="1"/>
  <c r="P438" i="2"/>
  <c r="P68" i="5" s="1"/>
  <c r="O438" i="2"/>
  <c r="O68" i="5" s="1"/>
  <c r="N438" i="2"/>
  <c r="N68" i="5" s="1"/>
  <c r="M438" i="2"/>
  <c r="M68" i="5" s="1"/>
  <c r="L438" i="2"/>
  <c r="L68" i="5" s="1"/>
  <c r="K438" i="2"/>
  <c r="K68" i="5" s="1"/>
  <c r="J438" i="2"/>
  <c r="J68" i="5" s="1"/>
  <c r="I438" i="2"/>
  <c r="I68" i="5" s="1"/>
  <c r="H438" i="2"/>
  <c r="H68" i="5" s="1"/>
  <c r="G438" i="2"/>
  <c r="G68" i="5" s="1"/>
  <c r="F438" i="2"/>
  <c r="F68" i="5" s="1"/>
  <c r="E438" i="2"/>
  <c r="E68" i="5" s="1"/>
  <c r="D438" i="2"/>
  <c r="D68" i="5" s="1"/>
  <c r="C438" i="2"/>
  <c r="C68" i="5" s="1"/>
  <c r="BD437" i="2"/>
  <c r="BD67" i="5" s="1"/>
  <c r="AY437" i="2"/>
  <c r="AW437" i="2"/>
  <c r="AV437" i="2"/>
  <c r="AU437" i="2"/>
  <c r="AT437" i="2"/>
  <c r="AS437" i="2"/>
  <c r="AR437" i="2"/>
  <c r="AQ437" i="2"/>
  <c r="AP437" i="2"/>
  <c r="AO437" i="2"/>
  <c r="AN437" i="2"/>
  <c r="AM437" i="2"/>
  <c r="AL437" i="2"/>
  <c r="AK437" i="2"/>
  <c r="AJ437" i="2"/>
  <c r="AI437" i="2"/>
  <c r="AH437" i="2"/>
  <c r="AG437" i="2"/>
  <c r="AF437" i="2"/>
  <c r="AE437" i="2"/>
  <c r="AD437" i="2"/>
  <c r="AC437" i="2"/>
  <c r="AB437" i="2"/>
  <c r="AA437" i="2"/>
  <c r="Z437" i="2"/>
  <c r="Y437" i="2"/>
  <c r="X437" i="2"/>
  <c r="W437" i="2"/>
  <c r="V437" i="2"/>
  <c r="U437" i="2"/>
  <c r="T437" i="2"/>
  <c r="S437" i="2"/>
  <c r="R437" i="2"/>
  <c r="Q437" i="2"/>
  <c r="P437" i="2"/>
  <c r="O437" i="2"/>
  <c r="N437" i="2"/>
  <c r="M437" i="2"/>
  <c r="L437" i="2"/>
  <c r="K437" i="2"/>
  <c r="J437" i="2"/>
  <c r="I437" i="2"/>
  <c r="H437" i="2"/>
  <c r="G437" i="2"/>
  <c r="F437" i="2"/>
  <c r="E437" i="2"/>
  <c r="D437" i="2"/>
  <c r="C437" i="2"/>
  <c r="A436" i="2"/>
  <c r="A847" i="2" s="1"/>
  <c r="AW435" i="2"/>
  <c r="AV435" i="2"/>
  <c r="AU435" i="2"/>
  <c r="AT435" i="2"/>
  <c r="AS435" i="2"/>
  <c r="AR435" i="2"/>
  <c r="AQ435" i="2"/>
  <c r="AP435" i="2"/>
  <c r="AO435" i="2"/>
  <c r="AN435" i="2"/>
  <c r="AM435" i="2"/>
  <c r="AL435" i="2"/>
  <c r="AK435" i="2"/>
  <c r="AJ435" i="2"/>
  <c r="AI435" i="2"/>
  <c r="AH435" i="2"/>
  <c r="AG435" i="2"/>
  <c r="AF435" i="2"/>
  <c r="AE435" i="2"/>
  <c r="AD435" i="2"/>
  <c r="AC435" i="2"/>
  <c r="AB435" i="2"/>
  <c r="AA435" i="2"/>
  <c r="Z435" i="2"/>
  <c r="Y435" i="2"/>
  <c r="X435" i="2"/>
  <c r="W435" i="2"/>
  <c r="V435" i="2"/>
  <c r="U435" i="2"/>
  <c r="T435" i="2"/>
  <c r="S435" i="2"/>
  <c r="R435" i="2"/>
  <c r="Q435" i="2"/>
  <c r="P435" i="2"/>
  <c r="O435" i="2"/>
  <c r="N435" i="2"/>
  <c r="M435" i="2"/>
  <c r="L435" i="2"/>
  <c r="K435" i="2"/>
  <c r="J435" i="2"/>
  <c r="I435" i="2"/>
  <c r="H435" i="2"/>
  <c r="G435" i="2"/>
  <c r="F435" i="2"/>
  <c r="E435" i="2"/>
  <c r="D435" i="2"/>
  <c r="C435" i="2"/>
  <c r="A434" i="2"/>
  <c r="A846" i="2" s="1"/>
  <c r="AT433" i="2"/>
  <c r="AR433" i="2"/>
  <c r="AM433" i="2"/>
  <c r="AL433" i="2"/>
  <c r="AG433" i="2"/>
  <c r="AF433" i="2"/>
  <c r="AA433" i="2"/>
  <c r="Z433" i="2"/>
  <c r="U433" i="2"/>
  <c r="N433" i="2"/>
  <c r="I433" i="2"/>
  <c r="H433" i="2"/>
  <c r="D433" i="2"/>
  <c r="C433" i="2"/>
  <c r="AW432" i="2"/>
  <c r="AW62" i="5" s="1"/>
  <c r="AV432" i="2"/>
  <c r="AV62" i="5" s="1"/>
  <c r="AT432" i="2"/>
  <c r="AT62" i="5" s="1"/>
  <c r="AR432" i="2"/>
  <c r="AR62" i="5" s="1"/>
  <c r="AQ432" i="2"/>
  <c r="AQ62" i="5" s="1"/>
  <c r="AO432" i="2"/>
  <c r="AO62" i="5" s="1"/>
  <c r="AM432" i="2"/>
  <c r="AM62" i="5" s="1"/>
  <c r="AL432" i="2"/>
  <c r="AL62" i="5" s="1"/>
  <c r="AK432" i="2"/>
  <c r="AK62" i="5" s="1"/>
  <c r="AH432" i="2"/>
  <c r="AH62" i="5" s="1"/>
  <c r="AG432" i="2"/>
  <c r="AG62" i="5" s="1"/>
  <c r="AF432" i="2"/>
  <c r="AF62" i="5" s="1"/>
  <c r="AE432" i="2"/>
  <c r="AE62" i="5" s="1"/>
  <c r="AC432" i="2"/>
  <c r="AC62" i="5" s="1"/>
  <c r="AA432" i="2"/>
  <c r="AA62" i="5" s="1"/>
  <c r="Z432" i="2"/>
  <c r="Z62" i="5" s="1"/>
  <c r="U432" i="2"/>
  <c r="U62" i="5" s="1"/>
  <c r="S432" i="2"/>
  <c r="S62" i="5" s="1"/>
  <c r="Q432" i="2"/>
  <c r="Q62" i="5" s="1"/>
  <c r="N432" i="2"/>
  <c r="N62" i="5" s="1"/>
  <c r="M432" i="2"/>
  <c r="M62" i="5" s="1"/>
  <c r="I432" i="2"/>
  <c r="I62" i="5" s="1"/>
  <c r="H432" i="2"/>
  <c r="H62" i="5" s="1"/>
  <c r="G432" i="2"/>
  <c r="G62" i="5" s="1"/>
  <c r="E432" i="2"/>
  <c r="E62" i="5" s="1"/>
  <c r="D432" i="2"/>
  <c r="D62" i="5" s="1"/>
  <c r="C432" i="2"/>
  <c r="C62" i="5" s="1"/>
  <c r="AW429" i="2"/>
  <c r="AW5" i="5" s="1"/>
  <c r="AV429" i="2"/>
  <c r="AV5" i="5" s="1"/>
  <c r="AU429" i="2"/>
  <c r="AU5" i="5" s="1"/>
  <c r="AT429" i="2"/>
  <c r="AT5" i="5" s="1"/>
  <c r="AS429" i="2"/>
  <c r="AS5" i="5" s="1"/>
  <c r="AR429" i="2"/>
  <c r="AR5" i="5" s="1"/>
  <c r="AQ429" i="2"/>
  <c r="AQ5" i="5" s="1"/>
  <c r="AP429" i="2"/>
  <c r="AP5" i="5" s="1"/>
  <c r="AO429" i="2"/>
  <c r="AO5" i="5" s="1"/>
  <c r="AN429" i="2"/>
  <c r="AN5" i="5" s="1"/>
  <c r="AM429" i="2"/>
  <c r="AM5" i="5" s="1"/>
  <c r="AL429" i="2"/>
  <c r="AL5" i="5" s="1"/>
  <c r="AK429" i="2"/>
  <c r="AK5" i="5" s="1"/>
  <c r="AJ429" i="2"/>
  <c r="AJ5" i="5" s="1"/>
  <c r="AI429" i="2"/>
  <c r="AI5" i="5" s="1"/>
  <c r="AH429" i="2"/>
  <c r="AH5" i="5" s="1"/>
  <c r="AG429" i="2"/>
  <c r="AG5" i="5" s="1"/>
  <c r="AF429" i="2"/>
  <c r="AF5" i="5" s="1"/>
  <c r="AE429" i="2"/>
  <c r="AE5" i="5" s="1"/>
  <c r="AD429" i="2"/>
  <c r="AD5" i="5" s="1"/>
  <c r="AC429" i="2"/>
  <c r="AC5" i="5" s="1"/>
  <c r="AB429" i="2"/>
  <c r="AB5" i="5" s="1"/>
  <c r="AA429" i="2"/>
  <c r="AA5" i="5" s="1"/>
  <c r="Z429" i="2"/>
  <c r="Z5" i="5" s="1"/>
  <c r="Y429" i="2"/>
  <c r="X429" i="2"/>
  <c r="W429" i="2"/>
  <c r="W5" i="5" s="1"/>
  <c r="V429" i="2"/>
  <c r="V5" i="5" s="1"/>
  <c r="U429" i="2"/>
  <c r="U5" i="5" s="1"/>
  <c r="T429" i="2"/>
  <c r="T5" i="5" s="1"/>
  <c r="S429" i="2"/>
  <c r="S5" i="5" s="1"/>
  <c r="R429" i="2"/>
  <c r="R5" i="5" s="1"/>
  <c r="Q429" i="2"/>
  <c r="Q5" i="5" s="1"/>
  <c r="P429" i="2"/>
  <c r="O429" i="2"/>
  <c r="O5" i="5" s="1"/>
  <c r="N429" i="2"/>
  <c r="M429" i="2"/>
  <c r="L429" i="2"/>
  <c r="K429" i="2"/>
  <c r="J429" i="2"/>
  <c r="I429" i="2"/>
  <c r="H429" i="2"/>
  <c r="G429" i="2"/>
  <c r="G5" i="5" s="1"/>
  <c r="F429" i="2"/>
  <c r="F5" i="5" s="1"/>
  <c r="E429" i="2"/>
  <c r="E5" i="5" s="1"/>
  <c r="D429" i="2"/>
  <c r="D5" i="5" s="1"/>
  <c r="C429" i="2"/>
  <c r="AQ428" i="2"/>
  <c r="AP428" i="2"/>
  <c r="AO428" i="2"/>
  <c r="AN428" i="2"/>
  <c r="AM428" i="2"/>
  <c r="AL428" i="2"/>
  <c r="AK428" i="2"/>
  <c r="AJ428" i="2"/>
  <c r="AI428" i="2"/>
  <c r="AH428" i="2"/>
  <c r="AG428" i="2"/>
  <c r="AF428" i="2"/>
  <c r="AE428" i="2"/>
  <c r="AD428" i="2"/>
  <c r="AC428" i="2"/>
  <c r="AB428" i="2"/>
  <c r="AA428" i="2"/>
  <c r="Z428" i="2"/>
  <c r="Y428" i="2"/>
  <c r="X428" i="2"/>
  <c r="W428" i="2"/>
  <c r="V428" i="2"/>
  <c r="U428" i="2"/>
  <c r="T428" i="2"/>
  <c r="S428" i="2"/>
  <c r="R428" i="2"/>
  <c r="Q428" i="2"/>
  <c r="P428" i="2"/>
  <c r="O428" i="2"/>
  <c r="N428" i="2"/>
  <c r="M428" i="2"/>
  <c r="L428" i="2"/>
  <c r="K428" i="2"/>
  <c r="J428" i="2"/>
  <c r="I428" i="2"/>
  <c r="H428" i="2"/>
  <c r="G428" i="2"/>
  <c r="F428" i="2"/>
  <c r="E428" i="2"/>
  <c r="D428" i="2"/>
  <c r="C428" i="2"/>
  <c r="AQ427" i="2"/>
  <c r="AP427" i="2"/>
  <c r="AO427" i="2"/>
  <c r="AN427" i="2"/>
  <c r="AM427" i="2"/>
  <c r="AL427" i="2"/>
  <c r="AK427" i="2"/>
  <c r="AJ427" i="2"/>
  <c r="AI427" i="2"/>
  <c r="AH427" i="2"/>
  <c r="AG427" i="2"/>
  <c r="AF427" i="2"/>
  <c r="AE427" i="2"/>
  <c r="AD427" i="2"/>
  <c r="AC427" i="2"/>
  <c r="AB427" i="2"/>
  <c r="AA427" i="2"/>
  <c r="Z427" i="2"/>
  <c r="Y427" i="2"/>
  <c r="X427" i="2"/>
  <c r="W427" i="2"/>
  <c r="V427" i="2"/>
  <c r="U427" i="2"/>
  <c r="T427" i="2"/>
  <c r="S427" i="2"/>
  <c r="R427" i="2"/>
  <c r="Q427" i="2"/>
  <c r="P427" i="2"/>
  <c r="O427" i="2"/>
  <c r="N427" i="2"/>
  <c r="M427" i="2"/>
  <c r="L427" i="2"/>
  <c r="K427" i="2"/>
  <c r="J427" i="2"/>
  <c r="I427" i="2"/>
  <c r="H427" i="2"/>
  <c r="G427" i="2"/>
  <c r="F427" i="2"/>
  <c r="E427" i="2"/>
  <c r="D427" i="2"/>
  <c r="C427" i="2"/>
  <c r="A425" i="2"/>
  <c r="A845" i="2" s="1"/>
  <c r="BD416" i="2"/>
  <c r="AW416" i="2"/>
  <c r="AV416" i="2"/>
  <c r="AU416" i="2"/>
  <c r="AY416" i="2" s="1"/>
  <c r="AT416" i="2"/>
  <c r="AS416" i="2"/>
  <c r="AR416" i="2"/>
  <c r="AQ416" i="2"/>
  <c r="AP416" i="2"/>
  <c r="AO416" i="2"/>
  <c r="AN416" i="2"/>
  <c r="AM416" i="2"/>
  <c r="AL416" i="2"/>
  <c r="AK416" i="2"/>
  <c r="AJ416" i="2"/>
  <c r="AI416" i="2"/>
  <c r="AH416" i="2"/>
  <c r="AG416" i="2"/>
  <c r="AF416" i="2"/>
  <c r="AE416" i="2"/>
  <c r="AD416" i="2"/>
  <c r="AC416" i="2"/>
  <c r="AB416" i="2"/>
  <c r="AA416" i="2"/>
  <c r="Z416" i="2"/>
  <c r="Y416" i="2"/>
  <c r="X416" i="2"/>
  <c r="W416" i="2"/>
  <c r="V416" i="2"/>
  <c r="U416" i="2"/>
  <c r="T416" i="2"/>
  <c r="S416" i="2"/>
  <c r="R416" i="2"/>
  <c r="Q416" i="2"/>
  <c r="P416" i="2"/>
  <c r="O416" i="2"/>
  <c r="N416" i="2"/>
  <c r="M416" i="2"/>
  <c r="L416" i="2"/>
  <c r="K416" i="2"/>
  <c r="J416" i="2"/>
  <c r="I416" i="2"/>
  <c r="H416" i="2"/>
  <c r="G416" i="2"/>
  <c r="F416" i="2"/>
  <c r="E416" i="2"/>
  <c r="D416" i="2"/>
  <c r="C416" i="2"/>
  <c r="BD415" i="2"/>
  <c r="AW415" i="2"/>
  <c r="AV415" i="2"/>
  <c r="AU415" i="2"/>
  <c r="AY415" i="2" s="1"/>
  <c r="AT415" i="2"/>
  <c r="AS415" i="2"/>
  <c r="AR415" i="2"/>
  <c r="AQ415" i="2"/>
  <c r="AP415" i="2"/>
  <c r="AO415" i="2"/>
  <c r="AN415" i="2"/>
  <c r="AM415" i="2"/>
  <c r="AL415" i="2"/>
  <c r="AK415" i="2"/>
  <c r="AJ415" i="2"/>
  <c r="AI415" i="2"/>
  <c r="AH415" i="2"/>
  <c r="AG415" i="2"/>
  <c r="AF415" i="2"/>
  <c r="AE415" i="2"/>
  <c r="AD415" i="2"/>
  <c r="AC415" i="2"/>
  <c r="AB415" i="2"/>
  <c r="AA415" i="2"/>
  <c r="Z415" i="2"/>
  <c r="Y415" i="2"/>
  <c r="X415" i="2"/>
  <c r="W415" i="2"/>
  <c r="V415" i="2"/>
  <c r="T415" i="2"/>
  <c r="S415" i="2"/>
  <c r="R415" i="2"/>
  <c r="Q415" i="2"/>
  <c r="O415" i="2"/>
  <c r="N415" i="2"/>
  <c r="M415" i="2"/>
  <c r="L415" i="2"/>
  <c r="J415" i="2"/>
  <c r="I415" i="2"/>
  <c r="H415" i="2"/>
  <c r="G415" i="2"/>
  <c r="F415" i="2"/>
  <c r="E415" i="2"/>
  <c r="D415" i="2"/>
  <c r="C415" i="2"/>
  <c r="BD413" i="2"/>
  <c r="AY413" i="2"/>
  <c r="BD411" i="2"/>
  <c r="BD42" i="5" s="1"/>
  <c r="AW411" i="2"/>
  <c r="AW42" i="5" s="1"/>
  <c r="AV411" i="2"/>
  <c r="AV42" i="5" s="1"/>
  <c r="AU411" i="2"/>
  <c r="AU42" i="5" s="1"/>
  <c r="AT411" i="2"/>
  <c r="AT42" i="5" s="1"/>
  <c r="AR411" i="2"/>
  <c r="AR42" i="5" s="1"/>
  <c r="AQ411" i="2"/>
  <c r="AQ42" i="5" s="1"/>
  <c r="AP411" i="2"/>
  <c r="AP42" i="5" s="1"/>
  <c r="AO411" i="2"/>
  <c r="AO42" i="5" s="1"/>
  <c r="AM411" i="2"/>
  <c r="AM42" i="5" s="1"/>
  <c r="AL411" i="2"/>
  <c r="AL42" i="5" s="1"/>
  <c r="AK411" i="2"/>
  <c r="AK42" i="5" s="1"/>
  <c r="AJ411" i="2"/>
  <c r="AJ42" i="5" s="1"/>
  <c r="BD410" i="2"/>
  <c r="BD41" i="5" s="1"/>
  <c r="AW410" i="2"/>
  <c r="AW41" i="5" s="1"/>
  <c r="AV410" i="2"/>
  <c r="AV41" i="5" s="1"/>
  <c r="AU410" i="2"/>
  <c r="AU41" i="5" s="1"/>
  <c r="AT410" i="2"/>
  <c r="AT41" i="5" s="1"/>
  <c r="AR410" i="2"/>
  <c r="AR41" i="5" s="1"/>
  <c r="AQ410" i="2"/>
  <c r="AQ41" i="5" s="1"/>
  <c r="AP410" i="2"/>
  <c r="AP41" i="5" s="1"/>
  <c r="AO410" i="2"/>
  <c r="AO41" i="5" s="1"/>
  <c r="AM410" i="2"/>
  <c r="AM41" i="5" s="1"/>
  <c r="AL410" i="2"/>
  <c r="AL41" i="5" s="1"/>
  <c r="AK410" i="2"/>
  <c r="AK41" i="5" s="1"/>
  <c r="AJ410" i="2"/>
  <c r="AJ41" i="5" s="1"/>
  <c r="AH410" i="2"/>
  <c r="AH41" i="5" s="1"/>
  <c r="AG410" i="2"/>
  <c r="AG41" i="5" s="1"/>
  <c r="AF410" i="2"/>
  <c r="AF41" i="5" s="1"/>
  <c r="AE410" i="2"/>
  <c r="AE41" i="5" s="1"/>
  <c r="AD410" i="2"/>
  <c r="AD41" i="5" s="1"/>
  <c r="AC410" i="2"/>
  <c r="AC41" i="5" s="1"/>
  <c r="AB410" i="2"/>
  <c r="AB41" i="5" s="1"/>
  <c r="AA410" i="2"/>
  <c r="AA41" i="5" s="1"/>
  <c r="Z410" i="2"/>
  <c r="Z41" i="5" s="1"/>
  <c r="Y410" i="2"/>
  <c r="Y41" i="5" s="1"/>
  <c r="X410" i="2"/>
  <c r="X41" i="5" s="1"/>
  <c r="W410" i="2"/>
  <c r="W41" i="5" s="1"/>
  <c r="V410" i="2"/>
  <c r="V41" i="5" s="1"/>
  <c r="U410" i="2"/>
  <c r="U41" i="5" s="1"/>
  <c r="T410" i="2"/>
  <c r="T41" i="5" s="1"/>
  <c r="S410" i="2"/>
  <c r="S41" i="5" s="1"/>
  <c r="R410" i="2"/>
  <c r="R41" i="5" s="1"/>
  <c r="Q410" i="2"/>
  <c r="Q41" i="5" s="1"/>
  <c r="P410" i="2"/>
  <c r="P41" i="5" s="1"/>
  <c r="O410" i="2"/>
  <c r="O41" i="5" s="1"/>
  <c r="N410" i="2"/>
  <c r="N41" i="5" s="1"/>
  <c r="M410" i="2"/>
  <c r="M41" i="5" s="1"/>
  <c r="L410" i="2"/>
  <c r="L41" i="5" s="1"/>
  <c r="K410" i="2"/>
  <c r="K41" i="5" s="1"/>
  <c r="J410" i="2"/>
  <c r="J41" i="5" s="1"/>
  <c r="I410" i="2"/>
  <c r="I41" i="5" s="1"/>
  <c r="H410" i="2"/>
  <c r="H41" i="5" s="1"/>
  <c r="G410" i="2"/>
  <c r="G41" i="5" s="1"/>
  <c r="F410" i="2"/>
  <c r="F41" i="5" s="1"/>
  <c r="E410" i="2"/>
  <c r="E41" i="5" s="1"/>
  <c r="D410" i="2"/>
  <c r="D41" i="5" s="1"/>
  <c r="C410" i="2"/>
  <c r="C41" i="5" s="1"/>
  <c r="BD409" i="2"/>
  <c r="BD40" i="5" s="1"/>
  <c r="AY409" i="2"/>
  <c r="AY40" i="5" s="1"/>
  <c r="AW406" i="2"/>
  <c r="AW39" i="5" s="1"/>
  <c r="AV406" i="2"/>
  <c r="AV39" i="5" s="1"/>
  <c r="AU406" i="2"/>
  <c r="AU39" i="5" s="1"/>
  <c r="AT406" i="2"/>
  <c r="AT39" i="5" s="1"/>
  <c r="AR406" i="2"/>
  <c r="AR39" i="5" s="1"/>
  <c r="AQ406" i="2"/>
  <c r="AQ39" i="5" s="1"/>
  <c r="AP406" i="2"/>
  <c r="AP39" i="5" s="1"/>
  <c r="AO406" i="2"/>
  <c r="AO39" i="5" s="1"/>
  <c r="AM406" i="2"/>
  <c r="AM39" i="5" s="1"/>
  <c r="AL406" i="2"/>
  <c r="AL39" i="5" s="1"/>
  <c r="AK406" i="2"/>
  <c r="AK39" i="5" s="1"/>
  <c r="AJ406" i="2"/>
  <c r="AJ39" i="5" s="1"/>
  <c r="AH406" i="2"/>
  <c r="AH39" i="5" s="1"/>
  <c r="AG406" i="2"/>
  <c r="AG39" i="5" s="1"/>
  <c r="AF406" i="2"/>
  <c r="AF39" i="5" s="1"/>
  <c r="AE406" i="2"/>
  <c r="AE39" i="5" s="1"/>
  <c r="AD406" i="2"/>
  <c r="AD39" i="5" s="1"/>
  <c r="AC406" i="2"/>
  <c r="AC39" i="5" s="1"/>
  <c r="AB406" i="2"/>
  <c r="AB39" i="5" s="1"/>
  <c r="AA406" i="2"/>
  <c r="AA39" i="5" s="1"/>
  <c r="Z406" i="2"/>
  <c r="Z39" i="5" s="1"/>
  <c r="Y406" i="2"/>
  <c r="Y39" i="5" s="1"/>
  <c r="X406" i="2"/>
  <c r="X39" i="5" s="1"/>
  <c r="W406" i="2"/>
  <c r="W39" i="5" s="1"/>
  <c r="V406" i="2"/>
  <c r="V39" i="5" s="1"/>
  <c r="U406" i="2"/>
  <c r="U39" i="5" s="1"/>
  <c r="T406" i="2"/>
  <c r="T39" i="5" s="1"/>
  <c r="S406" i="2"/>
  <c r="S39" i="5" s="1"/>
  <c r="R406" i="2"/>
  <c r="R39" i="5" s="1"/>
  <c r="Q406" i="2"/>
  <c r="Q39" i="5" s="1"/>
  <c r="P406" i="2"/>
  <c r="P39" i="5" s="1"/>
  <c r="O406" i="2"/>
  <c r="O39" i="5" s="1"/>
  <c r="N406" i="2"/>
  <c r="N39" i="5" s="1"/>
  <c r="M406" i="2"/>
  <c r="M39" i="5" s="1"/>
  <c r="L406" i="2"/>
  <c r="L39" i="5" s="1"/>
  <c r="K406" i="2"/>
  <c r="K39" i="5" s="1"/>
  <c r="I406" i="2"/>
  <c r="I39" i="5" s="1"/>
  <c r="H406" i="2"/>
  <c r="H39" i="5" s="1"/>
  <c r="G406" i="2"/>
  <c r="G39" i="5" s="1"/>
  <c r="F406" i="2"/>
  <c r="F39" i="5" s="1"/>
  <c r="E406" i="2"/>
  <c r="E39" i="5" s="1"/>
  <c r="D406" i="2"/>
  <c r="D39" i="5" s="1"/>
  <c r="C406" i="2"/>
  <c r="C39" i="5" s="1"/>
  <c r="BD403" i="2"/>
  <c r="AY403" i="2"/>
  <c r="BD402" i="2"/>
  <c r="AW402" i="2"/>
  <c r="AW37" i="5" s="1"/>
  <c r="AV402" i="2"/>
  <c r="AV37" i="5" s="1"/>
  <c r="AU402" i="2"/>
  <c r="AU37" i="5" s="1"/>
  <c r="AT402" i="2"/>
  <c r="AT37" i="5" s="1"/>
  <c r="AR402" i="2"/>
  <c r="AR37" i="5" s="1"/>
  <c r="AQ402" i="2"/>
  <c r="AQ37" i="5" s="1"/>
  <c r="AP402" i="2"/>
  <c r="AP37" i="5" s="1"/>
  <c r="AO402" i="2"/>
  <c r="AO37" i="5" s="1"/>
  <c r="AM402" i="2"/>
  <c r="AM37" i="5" s="1"/>
  <c r="AL402" i="2"/>
  <c r="AL37" i="5" s="1"/>
  <c r="AK402" i="2"/>
  <c r="AK37" i="5" s="1"/>
  <c r="AJ402" i="2"/>
  <c r="AJ37" i="5" s="1"/>
  <c r="AH402" i="2"/>
  <c r="AH37" i="5" s="1"/>
  <c r="AG402" i="2"/>
  <c r="AG37" i="5" s="1"/>
  <c r="AF402" i="2"/>
  <c r="AF37" i="5" s="1"/>
  <c r="AE402" i="2"/>
  <c r="AE37" i="5" s="1"/>
  <c r="AD402" i="2"/>
  <c r="AD37" i="5" s="1"/>
  <c r="AC402" i="2"/>
  <c r="AC37" i="5" s="1"/>
  <c r="AB402" i="2"/>
  <c r="AB37" i="5" s="1"/>
  <c r="AA402" i="2"/>
  <c r="AA37" i="5" s="1"/>
  <c r="Z402" i="2"/>
  <c r="Z37" i="5" s="1"/>
  <c r="Y402" i="2"/>
  <c r="Y37" i="5" s="1"/>
  <c r="X402" i="2"/>
  <c r="X37" i="5" s="1"/>
  <c r="W402" i="2"/>
  <c r="W37" i="5" s="1"/>
  <c r="V402" i="2"/>
  <c r="V37" i="5" s="1"/>
  <c r="U402" i="2"/>
  <c r="U37" i="5" s="1"/>
  <c r="T402" i="2"/>
  <c r="T37" i="5" s="1"/>
  <c r="S402" i="2"/>
  <c r="S37" i="5" s="1"/>
  <c r="R402" i="2"/>
  <c r="R37" i="5" s="1"/>
  <c r="Q402" i="2"/>
  <c r="Q37" i="5" s="1"/>
  <c r="P402" i="2"/>
  <c r="P37" i="5" s="1"/>
  <c r="O402" i="2"/>
  <c r="O37" i="5" s="1"/>
  <c r="N402" i="2"/>
  <c r="N37" i="5" s="1"/>
  <c r="M402" i="2"/>
  <c r="M37" i="5" s="1"/>
  <c r="L402" i="2"/>
  <c r="L37" i="5" s="1"/>
  <c r="K402" i="2"/>
  <c r="K37" i="5" s="1"/>
  <c r="I402" i="2"/>
  <c r="I37" i="5" s="1"/>
  <c r="H402" i="2"/>
  <c r="H37" i="5" s="1"/>
  <c r="G402" i="2"/>
  <c r="G37" i="5" s="1"/>
  <c r="F402" i="2"/>
  <c r="F37" i="5" s="1"/>
  <c r="E402" i="2"/>
  <c r="E37" i="5" s="1"/>
  <c r="D402" i="2"/>
  <c r="D37" i="5" s="1"/>
  <c r="C402" i="2"/>
  <c r="C37" i="5" s="1"/>
  <c r="AW401" i="2"/>
  <c r="AW460" i="2" s="1"/>
  <c r="AV401" i="2"/>
  <c r="AV460" i="2" s="1"/>
  <c r="AU401" i="2"/>
  <c r="AU460" i="2" s="1"/>
  <c r="AT401" i="2"/>
  <c r="AT460" i="2" s="1"/>
  <c r="AT461" i="2" s="1"/>
  <c r="AR401" i="2"/>
  <c r="AR460" i="2" s="1"/>
  <c r="AQ401" i="2"/>
  <c r="AQ460" i="2" s="1"/>
  <c r="AP401" i="2"/>
  <c r="AP460" i="2" s="1"/>
  <c r="AO401" i="2"/>
  <c r="AO460" i="2" s="1"/>
  <c r="AO461" i="2" s="1"/>
  <c r="AM401" i="2"/>
  <c r="AM460" i="2" s="1"/>
  <c r="AL401" i="2"/>
  <c r="AL460" i="2" s="1"/>
  <c r="AK401" i="2"/>
  <c r="AK460" i="2" s="1"/>
  <c r="AJ401" i="2"/>
  <c r="AJ460" i="2" s="1"/>
  <c r="AJ461" i="2" s="1"/>
  <c r="AH401" i="2"/>
  <c r="AH460" i="2" s="1"/>
  <c r="AG401" i="2"/>
  <c r="AG460" i="2" s="1"/>
  <c r="AF401" i="2"/>
  <c r="AF460" i="2" s="1"/>
  <c r="AE401" i="2"/>
  <c r="AE460" i="2" s="1"/>
  <c r="AE461" i="2" s="1"/>
  <c r="AD401" i="2"/>
  <c r="AD460" i="2" s="1"/>
  <c r="AC401" i="2"/>
  <c r="AC460" i="2" s="1"/>
  <c r="AB401" i="2"/>
  <c r="AB460" i="2" s="1"/>
  <c r="AA401" i="2"/>
  <c r="AA460" i="2" s="1"/>
  <c r="Z401" i="2"/>
  <c r="Z460" i="2" s="1"/>
  <c r="Z461" i="2" s="1"/>
  <c r="Y401" i="2"/>
  <c r="Y460" i="2" s="1"/>
  <c r="X401" i="2"/>
  <c r="X460" i="2" s="1"/>
  <c r="W401" i="2"/>
  <c r="W460" i="2" s="1"/>
  <c r="V401" i="2"/>
  <c r="V460" i="2" s="1"/>
  <c r="U401" i="2"/>
  <c r="U460" i="2" s="1"/>
  <c r="U461" i="2" s="1"/>
  <c r="T401" i="2"/>
  <c r="T460" i="2" s="1"/>
  <c r="S401" i="2"/>
  <c r="S460" i="2" s="1"/>
  <c r="R401" i="2"/>
  <c r="R460" i="2" s="1"/>
  <c r="Q401" i="2"/>
  <c r="Q460" i="2" s="1"/>
  <c r="P401" i="2"/>
  <c r="P460" i="2" s="1"/>
  <c r="P461" i="2" s="1"/>
  <c r="O401" i="2"/>
  <c r="O460" i="2" s="1"/>
  <c r="N401" i="2"/>
  <c r="N460" i="2" s="1"/>
  <c r="M401" i="2"/>
  <c r="M460" i="2" s="1"/>
  <c r="L401" i="2"/>
  <c r="L460" i="2" s="1"/>
  <c r="K401" i="2"/>
  <c r="K460" i="2" s="1"/>
  <c r="K461" i="2" s="1"/>
  <c r="I401" i="2"/>
  <c r="I460" i="2" s="1"/>
  <c r="H401" i="2"/>
  <c r="H460" i="2" s="1"/>
  <c r="G401" i="2"/>
  <c r="G460" i="2" s="1"/>
  <c r="F401" i="2"/>
  <c r="F460" i="2" s="1"/>
  <c r="F461" i="2" s="1"/>
  <c r="E401" i="2"/>
  <c r="E460" i="2" s="1"/>
  <c r="E461" i="2" s="1"/>
  <c r="D401" i="2"/>
  <c r="D460" i="2" s="1"/>
  <c r="D461" i="2" s="1"/>
  <c r="C401" i="2"/>
  <c r="C460" i="2" s="1"/>
  <c r="AW400" i="2"/>
  <c r="AV400" i="2"/>
  <c r="AU400" i="2"/>
  <c r="AT400" i="2"/>
  <c r="AR400" i="2"/>
  <c r="AQ400" i="2"/>
  <c r="AP400" i="2"/>
  <c r="AO400" i="2"/>
  <c r="AM400" i="2"/>
  <c r="AL400" i="2"/>
  <c r="AK400" i="2"/>
  <c r="AJ400" i="2"/>
  <c r="AH400" i="2"/>
  <c r="AG400" i="2"/>
  <c r="AF400" i="2"/>
  <c r="AE400" i="2"/>
  <c r="AD400" i="2"/>
  <c r="AC400" i="2"/>
  <c r="AB400" i="2"/>
  <c r="AA400" i="2"/>
  <c r="Z400" i="2"/>
  <c r="Y400" i="2"/>
  <c r="X400" i="2"/>
  <c r="W400" i="2"/>
  <c r="V400" i="2"/>
  <c r="U400" i="2"/>
  <c r="T400" i="2"/>
  <c r="S400" i="2"/>
  <c r="R400" i="2"/>
  <c r="Q400" i="2"/>
  <c r="P400" i="2"/>
  <c r="O400" i="2"/>
  <c r="N400" i="2"/>
  <c r="M400" i="2"/>
  <c r="L400" i="2"/>
  <c r="K400" i="2"/>
  <c r="I400" i="2"/>
  <c r="H400" i="2"/>
  <c r="G400" i="2"/>
  <c r="F400" i="2"/>
  <c r="E400" i="2"/>
  <c r="D400" i="2"/>
  <c r="C400" i="2"/>
  <c r="C395" i="2"/>
  <c r="AW394" i="2"/>
  <c r="AW709" i="2" s="1"/>
  <c r="AV394" i="2"/>
  <c r="AV709" i="2" s="1"/>
  <c r="AU394" i="2"/>
  <c r="AU709" i="2" s="1"/>
  <c r="AT394" i="2"/>
  <c r="AT709" i="2" s="1"/>
  <c r="AS394" i="2"/>
  <c r="AS709" i="2" s="1"/>
  <c r="AR394" i="2"/>
  <c r="AR709" i="2" s="1"/>
  <c r="AQ394" i="2"/>
  <c r="AQ709" i="2" s="1"/>
  <c r="AP394" i="2"/>
  <c r="AP709" i="2" s="1"/>
  <c r="AO394" i="2"/>
  <c r="AO709" i="2" s="1"/>
  <c r="AN394" i="2"/>
  <c r="AN709" i="2" s="1"/>
  <c r="AM394" i="2"/>
  <c r="AM709" i="2" s="1"/>
  <c r="AL394" i="2"/>
  <c r="AL709" i="2" s="1"/>
  <c r="AK394" i="2"/>
  <c r="AK709" i="2" s="1"/>
  <c r="AJ394" i="2"/>
  <c r="AJ709" i="2" s="1"/>
  <c r="AI394" i="2"/>
  <c r="AI709" i="2" s="1"/>
  <c r="AH394" i="2"/>
  <c r="AH709" i="2" s="1"/>
  <c r="AG394" i="2"/>
  <c r="AG709" i="2" s="1"/>
  <c r="AF394" i="2"/>
  <c r="AF709" i="2" s="1"/>
  <c r="AE394" i="2"/>
  <c r="AE709" i="2" s="1"/>
  <c r="AD394" i="2"/>
  <c r="AD709" i="2" s="1"/>
  <c r="AC394" i="2"/>
  <c r="AC709" i="2" s="1"/>
  <c r="AB394" i="2"/>
  <c r="AB709" i="2" s="1"/>
  <c r="AA394" i="2"/>
  <c r="AA709" i="2" s="1"/>
  <c r="Z394" i="2"/>
  <c r="Z709" i="2" s="1"/>
  <c r="Y394" i="2"/>
  <c r="Y709" i="2" s="1"/>
  <c r="X394" i="2"/>
  <c r="X709" i="2" s="1"/>
  <c r="W394" i="2"/>
  <c r="W709" i="2" s="1"/>
  <c r="V394" i="2"/>
  <c r="V709" i="2" s="1"/>
  <c r="U394" i="2"/>
  <c r="U709" i="2" s="1"/>
  <c r="T394" i="2"/>
  <c r="T709" i="2" s="1"/>
  <c r="S394" i="2"/>
  <c r="S709" i="2" s="1"/>
  <c r="R394" i="2"/>
  <c r="R709" i="2" s="1"/>
  <c r="Q394" i="2"/>
  <c r="Q709" i="2" s="1"/>
  <c r="P394" i="2"/>
  <c r="P709" i="2" s="1"/>
  <c r="O394" i="2"/>
  <c r="O709" i="2" s="1"/>
  <c r="N394" i="2"/>
  <c r="N709" i="2" s="1"/>
  <c r="M394" i="2"/>
  <c r="M709" i="2" s="1"/>
  <c r="L394" i="2"/>
  <c r="L709" i="2" s="1"/>
  <c r="K394" i="2"/>
  <c r="K709" i="2" s="1"/>
  <c r="J394" i="2"/>
  <c r="J709" i="2" s="1"/>
  <c r="I394" i="2"/>
  <c r="I709" i="2" s="1"/>
  <c r="H394" i="2"/>
  <c r="H709" i="2" s="1"/>
  <c r="G394" i="2"/>
  <c r="G709" i="2" s="1"/>
  <c r="F394" i="2"/>
  <c r="F709" i="2" s="1"/>
  <c r="E394" i="2"/>
  <c r="E709" i="2" s="1"/>
  <c r="D394" i="2"/>
  <c r="D709" i="2" s="1"/>
  <c r="C394" i="2"/>
  <c r="C709" i="2" s="1"/>
  <c r="BG389" i="2"/>
  <c r="BG34" i="5" s="1"/>
  <c r="BF389" i="2"/>
  <c r="BF34" i="5" s="1"/>
  <c r="BE389" i="2"/>
  <c r="BE34" i="5" s="1"/>
  <c r="BC389" i="2"/>
  <c r="BC34" i="5" s="1"/>
  <c r="BB389" i="2"/>
  <c r="BB34" i="5" s="1"/>
  <c r="BA389" i="2"/>
  <c r="BA34" i="5" s="1"/>
  <c r="AZ389" i="2"/>
  <c r="AZ34" i="5" s="1"/>
  <c r="AX389" i="2"/>
  <c r="AX34" i="5" s="1"/>
  <c r="AW389" i="2"/>
  <c r="AW34" i="5" s="1"/>
  <c r="AV389" i="2"/>
  <c r="AV34" i="5" s="1"/>
  <c r="AU389" i="2"/>
  <c r="AU34" i="5" s="1"/>
  <c r="AT389" i="2"/>
  <c r="AT34" i="5" s="1"/>
  <c r="AR389" i="2"/>
  <c r="AR34" i="5" s="1"/>
  <c r="AQ389" i="2"/>
  <c r="AQ34" i="5" s="1"/>
  <c r="AP389" i="2"/>
  <c r="AP34" i="5" s="1"/>
  <c r="AO389" i="2"/>
  <c r="AO34" i="5" s="1"/>
  <c r="AM389" i="2"/>
  <c r="AM34" i="5" s="1"/>
  <c r="AL389" i="2"/>
  <c r="AL34" i="5" s="1"/>
  <c r="AK389" i="2"/>
  <c r="AK34" i="5" s="1"/>
  <c r="AJ389" i="2"/>
  <c r="AJ34" i="5" s="1"/>
  <c r="AH389" i="2"/>
  <c r="AH34" i="5" s="1"/>
  <c r="AG389" i="2"/>
  <c r="AG34" i="5" s="1"/>
  <c r="AF389" i="2"/>
  <c r="AF34" i="5" s="1"/>
  <c r="AE389" i="2"/>
  <c r="AE34" i="5" s="1"/>
  <c r="AD389" i="2"/>
  <c r="AD34" i="5" s="1"/>
  <c r="AC389" i="2"/>
  <c r="AC34" i="5" s="1"/>
  <c r="AB389" i="2"/>
  <c r="AB34" i="5" s="1"/>
  <c r="AA389" i="2"/>
  <c r="AA34" i="5" s="1"/>
  <c r="Z389" i="2"/>
  <c r="Z34" i="5" s="1"/>
  <c r="Y389" i="2"/>
  <c r="Y34" i="5" s="1"/>
  <c r="X389" i="2"/>
  <c r="X34" i="5" s="1"/>
  <c r="W389" i="2"/>
  <c r="W34" i="5" s="1"/>
  <c r="V389" i="2"/>
  <c r="V34" i="5" s="1"/>
  <c r="U389" i="2"/>
  <c r="U34" i="5" s="1"/>
  <c r="T389" i="2"/>
  <c r="T34" i="5" s="1"/>
  <c r="S389" i="2"/>
  <c r="S34" i="5" s="1"/>
  <c r="R389" i="2"/>
  <c r="R34" i="5" s="1"/>
  <c r="Q389" i="2"/>
  <c r="Q34" i="5" s="1"/>
  <c r="P389" i="2"/>
  <c r="P34" i="5" s="1"/>
  <c r="O389" i="2"/>
  <c r="O34" i="5" s="1"/>
  <c r="N389" i="2"/>
  <c r="N34" i="5" s="1"/>
  <c r="M389" i="2"/>
  <c r="M34" i="5" s="1"/>
  <c r="L389" i="2"/>
  <c r="L34" i="5" s="1"/>
  <c r="K389" i="2"/>
  <c r="K34" i="5" s="1"/>
  <c r="J389" i="2"/>
  <c r="J34" i="5" s="1"/>
  <c r="I389" i="2"/>
  <c r="I34" i="5" s="1"/>
  <c r="H389" i="2"/>
  <c r="H34" i="5" s="1"/>
  <c r="G389" i="2"/>
  <c r="G34" i="5" s="1"/>
  <c r="F389" i="2"/>
  <c r="F34" i="5" s="1"/>
  <c r="E389" i="2"/>
  <c r="E34" i="5" s="1"/>
  <c r="D389" i="2"/>
  <c r="D34" i="5" s="1"/>
  <c r="C389" i="2"/>
  <c r="C34" i="5" s="1"/>
  <c r="AW388" i="2"/>
  <c r="AW33" i="5" s="1"/>
  <c r="AV388" i="2"/>
  <c r="AV33" i="5" s="1"/>
  <c r="AU388" i="2"/>
  <c r="AU33" i="5" s="1"/>
  <c r="AT388" i="2"/>
  <c r="AT33" i="5" s="1"/>
  <c r="AR388" i="2"/>
  <c r="AR33" i="5" s="1"/>
  <c r="AQ388" i="2"/>
  <c r="AQ33" i="5" s="1"/>
  <c r="AP388" i="2"/>
  <c r="AP33" i="5" s="1"/>
  <c r="AO388" i="2"/>
  <c r="AO33" i="5" s="1"/>
  <c r="AM388" i="2"/>
  <c r="AM33" i="5" s="1"/>
  <c r="AL388" i="2"/>
  <c r="AL33" i="5" s="1"/>
  <c r="AK388" i="2"/>
  <c r="AK33" i="5" s="1"/>
  <c r="AJ388" i="2"/>
  <c r="AJ33" i="5" s="1"/>
  <c r="AH388" i="2"/>
  <c r="AH33" i="5" s="1"/>
  <c r="AG388" i="2"/>
  <c r="AG33" i="5" s="1"/>
  <c r="AF388" i="2"/>
  <c r="AF33" i="5" s="1"/>
  <c r="AE388" i="2"/>
  <c r="AE33" i="5" s="1"/>
  <c r="AD388" i="2"/>
  <c r="AD33" i="5" s="1"/>
  <c r="AC388" i="2"/>
  <c r="AC33" i="5" s="1"/>
  <c r="AB388" i="2"/>
  <c r="AB33" i="5" s="1"/>
  <c r="AA388" i="2"/>
  <c r="AA33" i="5" s="1"/>
  <c r="Z388" i="2"/>
  <c r="Z33" i="5" s="1"/>
  <c r="Y388" i="2"/>
  <c r="Y33" i="5" s="1"/>
  <c r="X388" i="2"/>
  <c r="X33" i="5" s="1"/>
  <c r="W388" i="2"/>
  <c r="W33" i="5" s="1"/>
  <c r="V388" i="2"/>
  <c r="V33" i="5" s="1"/>
  <c r="U388" i="2"/>
  <c r="U33" i="5" s="1"/>
  <c r="T388" i="2"/>
  <c r="T33" i="5" s="1"/>
  <c r="S388" i="2"/>
  <c r="S33" i="5" s="1"/>
  <c r="R388" i="2"/>
  <c r="R33" i="5" s="1"/>
  <c r="Q388" i="2"/>
  <c r="Q33" i="5" s="1"/>
  <c r="P388" i="2"/>
  <c r="P33" i="5" s="1"/>
  <c r="O388" i="2"/>
  <c r="O33" i="5" s="1"/>
  <c r="N388" i="2"/>
  <c r="N33" i="5" s="1"/>
  <c r="M388" i="2"/>
  <c r="M33" i="5" s="1"/>
  <c r="L388" i="2"/>
  <c r="L33" i="5" s="1"/>
  <c r="K388" i="2"/>
  <c r="K33" i="5" s="1"/>
  <c r="I388" i="2"/>
  <c r="I33" i="5" s="1"/>
  <c r="H388" i="2"/>
  <c r="H33" i="5" s="1"/>
  <c r="G388" i="2"/>
  <c r="G33" i="5" s="1"/>
  <c r="F388" i="2"/>
  <c r="F33" i="5" s="1"/>
  <c r="E388" i="2"/>
  <c r="E33" i="5" s="1"/>
  <c r="D388" i="2"/>
  <c r="D33" i="5" s="1"/>
  <c r="C388" i="2"/>
  <c r="C33" i="5" s="1"/>
  <c r="AW387" i="2"/>
  <c r="AW32" i="5" s="1"/>
  <c r="AV387" i="2"/>
  <c r="AV32" i="5" s="1"/>
  <c r="AU387" i="2"/>
  <c r="AU32" i="5" s="1"/>
  <c r="AT387" i="2"/>
  <c r="AT32" i="5" s="1"/>
  <c r="AR387" i="2"/>
  <c r="AR32" i="5" s="1"/>
  <c r="AQ387" i="2"/>
  <c r="AQ32" i="5" s="1"/>
  <c r="AP387" i="2"/>
  <c r="AP32" i="5" s="1"/>
  <c r="AO387" i="2"/>
  <c r="AO32" i="5" s="1"/>
  <c r="AM387" i="2"/>
  <c r="AM32" i="5" s="1"/>
  <c r="AL387" i="2"/>
  <c r="AL32" i="5" s="1"/>
  <c r="AK387" i="2"/>
  <c r="AK32" i="5" s="1"/>
  <c r="AJ387" i="2"/>
  <c r="AJ32" i="5" s="1"/>
  <c r="AH387" i="2"/>
  <c r="AH32" i="5" s="1"/>
  <c r="AG387" i="2"/>
  <c r="AG32" i="5" s="1"/>
  <c r="AF387" i="2"/>
  <c r="AF32" i="5" s="1"/>
  <c r="AE387" i="2"/>
  <c r="AE32" i="5" s="1"/>
  <c r="AD387" i="2"/>
  <c r="AD32" i="5" s="1"/>
  <c r="AC387" i="2"/>
  <c r="AC32" i="5" s="1"/>
  <c r="AB387" i="2"/>
  <c r="AB32" i="5" s="1"/>
  <c r="AA387" i="2"/>
  <c r="AA32" i="5" s="1"/>
  <c r="Z387" i="2"/>
  <c r="Z32" i="5" s="1"/>
  <c r="Y387" i="2"/>
  <c r="Y32" i="5" s="1"/>
  <c r="X387" i="2"/>
  <c r="X32" i="5" s="1"/>
  <c r="W387" i="2"/>
  <c r="W32" i="5" s="1"/>
  <c r="V387" i="2"/>
  <c r="V32" i="5" s="1"/>
  <c r="U387" i="2"/>
  <c r="U32" i="5" s="1"/>
  <c r="T387" i="2"/>
  <c r="T32" i="5" s="1"/>
  <c r="S387" i="2"/>
  <c r="S32" i="5" s="1"/>
  <c r="R387" i="2"/>
  <c r="R32" i="5" s="1"/>
  <c r="Q387" i="2"/>
  <c r="Q32" i="5" s="1"/>
  <c r="P387" i="2"/>
  <c r="P32" i="5" s="1"/>
  <c r="O387" i="2"/>
  <c r="O32" i="5" s="1"/>
  <c r="N387" i="2"/>
  <c r="N32" i="5" s="1"/>
  <c r="M387" i="2"/>
  <c r="M32" i="5" s="1"/>
  <c r="L387" i="2"/>
  <c r="L32" i="5" s="1"/>
  <c r="K387" i="2"/>
  <c r="K32" i="5" s="1"/>
  <c r="I387" i="2"/>
  <c r="I32" i="5" s="1"/>
  <c r="H387" i="2"/>
  <c r="H32" i="5" s="1"/>
  <c r="G387" i="2"/>
  <c r="G32" i="5" s="1"/>
  <c r="F387" i="2"/>
  <c r="F32" i="5" s="1"/>
  <c r="E387" i="2"/>
  <c r="E32" i="5" s="1"/>
  <c r="D387" i="2"/>
  <c r="D32" i="5" s="1"/>
  <c r="C387" i="2"/>
  <c r="C32" i="5" s="1"/>
  <c r="AU384" i="2"/>
  <c r="W384" i="2"/>
  <c r="W31" i="5" s="1"/>
  <c r="K384" i="2"/>
  <c r="K31" i="5" s="1"/>
  <c r="A382" i="2"/>
  <c r="A842" i="2" s="1"/>
  <c r="AT381" i="2"/>
  <c r="AH381" i="2"/>
  <c r="V381" i="2"/>
  <c r="AS376" i="2"/>
  <c r="AS411" i="2" s="1"/>
  <c r="AS42" i="5" s="1"/>
  <c r="AN376" i="2"/>
  <c r="AN411" i="2" s="1"/>
  <c r="AN42" i="5" s="1"/>
  <c r="AK373" i="2"/>
  <c r="AJ373" i="2"/>
  <c r="AI373" i="2"/>
  <c r="AH373" i="2"/>
  <c r="AG373" i="2"/>
  <c r="AE373" i="2"/>
  <c r="AD373" i="2"/>
  <c r="AC373" i="2"/>
  <c r="AB373" i="2"/>
  <c r="AA373" i="2"/>
  <c r="V372" i="2"/>
  <c r="V371" i="2"/>
  <c r="AT370" i="2"/>
  <c r="AO370" i="2"/>
  <c r="V370" i="2"/>
  <c r="U367" i="2"/>
  <c r="P367" i="2"/>
  <c r="K367" i="2"/>
  <c r="U366" i="2"/>
  <c r="P366" i="2"/>
  <c r="K366" i="2"/>
  <c r="U365" i="2"/>
  <c r="P365" i="2"/>
  <c r="K365" i="2"/>
  <c r="U362" i="2"/>
  <c r="U415" i="2" s="1"/>
  <c r="P362" i="2"/>
  <c r="P415" i="2" s="1"/>
  <c r="K362" i="2"/>
  <c r="K415" i="2" s="1"/>
  <c r="BG358" i="2"/>
  <c r="BF358" i="2"/>
  <c r="BE358" i="2"/>
  <c r="BD358" i="2"/>
  <c r="BC358" i="2"/>
  <c r="BB358" i="2"/>
  <c r="BA358" i="2"/>
  <c r="AZ358" i="2"/>
  <c r="AY358" i="2"/>
  <c r="AX358" i="2"/>
  <c r="AS355" i="2"/>
  <c r="AS410" i="2" s="1"/>
  <c r="AS41" i="5" s="1"/>
  <c r="AN355" i="2"/>
  <c r="AN410" i="2" s="1"/>
  <c r="AN41" i="5" s="1"/>
  <c r="AI355" i="2"/>
  <c r="AI410" i="2" s="1"/>
  <c r="AI41" i="5" s="1"/>
  <c r="AS353" i="2"/>
  <c r="AS406" i="2" s="1"/>
  <c r="AN353" i="2"/>
  <c r="AN406" i="2" s="1"/>
  <c r="AI353" i="2"/>
  <c r="AI406" i="2" s="1"/>
  <c r="J353" i="2"/>
  <c r="J406" i="2" s="1"/>
  <c r="AS351" i="2"/>
  <c r="AS402" i="2" s="1"/>
  <c r="AS37" i="5" s="1"/>
  <c r="AN351" i="2"/>
  <c r="AN402" i="2" s="1"/>
  <c r="AN37" i="5" s="1"/>
  <c r="AI351" i="2"/>
  <c r="AI402" i="2" s="1"/>
  <c r="AI37" i="5" s="1"/>
  <c r="J351" i="2"/>
  <c r="J402" i="2" s="1"/>
  <c r="J37" i="5" s="1"/>
  <c r="AS350" i="2"/>
  <c r="AS400" i="2" s="1"/>
  <c r="AN350" i="2"/>
  <c r="AN400" i="2" s="1"/>
  <c r="AI350" i="2"/>
  <c r="AI400" i="2" s="1"/>
  <c r="J350" i="2"/>
  <c r="J400" i="2" s="1"/>
  <c r="AS349" i="2"/>
  <c r="AS401" i="2" s="1"/>
  <c r="AS460" i="2" s="1"/>
  <c r="AN349" i="2"/>
  <c r="AN401" i="2" s="1"/>
  <c r="AN460" i="2" s="1"/>
  <c r="AI349" i="2"/>
  <c r="AI401" i="2" s="1"/>
  <c r="AI460" i="2" s="1"/>
  <c r="J349" i="2"/>
  <c r="J401" i="2" s="1"/>
  <c r="J460" i="2" s="1"/>
  <c r="AH348" i="2"/>
  <c r="BG347" i="2"/>
  <c r="BF347" i="2"/>
  <c r="BE347" i="2"/>
  <c r="BD347" i="2"/>
  <c r="BC347" i="2"/>
  <c r="BB347" i="2"/>
  <c r="BA347" i="2"/>
  <c r="AZ347" i="2"/>
  <c r="AY347" i="2"/>
  <c r="AX347" i="2"/>
  <c r="AW347" i="2"/>
  <c r="AV347" i="2"/>
  <c r="AU347" i="2"/>
  <c r="AT347" i="2"/>
  <c r="AR347" i="2"/>
  <c r="AQ347" i="2"/>
  <c r="AP347" i="2"/>
  <c r="AO347" i="2"/>
  <c r="AM347" i="2"/>
  <c r="AL347" i="2"/>
  <c r="AK347" i="2"/>
  <c r="AJ347" i="2"/>
  <c r="AH347" i="2"/>
  <c r="AG347" i="2"/>
  <c r="AF347" i="2"/>
  <c r="AE347" i="2"/>
  <c r="AD347" i="2"/>
  <c r="AC347" i="2"/>
  <c r="AB347" i="2"/>
  <c r="AA347" i="2"/>
  <c r="Z347" i="2"/>
  <c r="Y347" i="2"/>
  <c r="X347" i="2"/>
  <c r="W347" i="2"/>
  <c r="V347" i="2"/>
  <c r="U347" i="2"/>
  <c r="T347" i="2"/>
  <c r="S347" i="2"/>
  <c r="R347" i="2"/>
  <c r="Q347" i="2"/>
  <c r="P347" i="2"/>
  <c r="O347" i="2"/>
  <c r="N347" i="2"/>
  <c r="M347" i="2"/>
  <c r="L347" i="2"/>
  <c r="K347" i="2"/>
  <c r="I347" i="2"/>
  <c r="H347" i="2"/>
  <c r="G347" i="2"/>
  <c r="F347" i="2"/>
  <c r="E347" i="2"/>
  <c r="D347" i="2"/>
  <c r="C347" i="2"/>
  <c r="AS346" i="2"/>
  <c r="AS389" i="2" s="1"/>
  <c r="AS34" i="5" s="1"/>
  <c r="AN346" i="2"/>
  <c r="AN389" i="2" s="1"/>
  <c r="AN34" i="5" s="1"/>
  <c r="AI346" i="2"/>
  <c r="AS345" i="2"/>
  <c r="AS387" i="2" s="1"/>
  <c r="AS32" i="5" s="1"/>
  <c r="AN345" i="2"/>
  <c r="AN387" i="2" s="1"/>
  <c r="AN32" i="5" s="1"/>
  <c r="AI345" i="2"/>
  <c r="AI387" i="2" s="1"/>
  <c r="AI32" i="5" s="1"/>
  <c r="J345" i="2"/>
  <c r="J387" i="2" s="1"/>
  <c r="J32" i="5" s="1"/>
  <c r="AS344" i="2"/>
  <c r="AN344" i="2"/>
  <c r="AN388" i="2" s="1"/>
  <c r="AN33" i="5" s="1"/>
  <c r="AI344" i="2"/>
  <c r="AI388" i="2" s="1"/>
  <c r="AI33" i="5" s="1"/>
  <c r="J344" i="2"/>
  <c r="J388" i="2" s="1"/>
  <c r="J33" i="5" s="1"/>
  <c r="BB343" i="2"/>
  <c r="BB348" i="2" s="1"/>
  <c r="BB352" i="2" s="1"/>
  <c r="BB354" i="2" s="1"/>
  <c r="BB356" i="2" s="1"/>
  <c r="AY343" i="2"/>
  <c r="AY348" i="2" s="1"/>
  <c r="AY352" i="2" s="1"/>
  <c r="AY354" i="2" s="1"/>
  <c r="AY356" i="2" s="1"/>
  <c r="AV343" i="2"/>
  <c r="AV348" i="2" s="1"/>
  <c r="AR343" i="2"/>
  <c r="AR348" i="2" s="1"/>
  <c r="AP343" i="2"/>
  <c r="AP348" i="2" s="1"/>
  <c r="AP352" i="2" s="1"/>
  <c r="AP354" i="2" s="1"/>
  <c r="AJ343" i="2"/>
  <c r="AD343" i="2"/>
  <c r="AD348" i="2" s="1"/>
  <c r="AA343" i="2"/>
  <c r="AA348" i="2" s="1"/>
  <c r="R343" i="2"/>
  <c r="R348" i="2" s="1"/>
  <c r="R352" i="2" s="1"/>
  <c r="R354" i="2" s="1"/>
  <c r="O343" i="2"/>
  <c r="O348" i="2" s="1"/>
  <c r="F343" i="2"/>
  <c r="F348" i="2" s="1"/>
  <c r="F352" i="2" s="1"/>
  <c r="F354" i="2" s="1"/>
  <c r="BG342" i="2"/>
  <c r="BF342" i="2"/>
  <c r="BE342" i="2"/>
  <c r="BD342" i="2"/>
  <c r="BC342" i="2"/>
  <c r="BB342" i="2"/>
  <c r="BA342" i="2"/>
  <c r="AZ342" i="2"/>
  <c r="AY342" i="2"/>
  <c r="AX342" i="2"/>
  <c r="AW342" i="2"/>
  <c r="AW384" i="2" s="1"/>
  <c r="AW31" i="5" s="1"/>
  <c r="AV342" i="2"/>
  <c r="AV384" i="2" s="1"/>
  <c r="AV31" i="5" s="1"/>
  <c r="AU342" i="2"/>
  <c r="AT342" i="2"/>
  <c r="AT384" i="2" s="1"/>
  <c r="AT31" i="5" s="1"/>
  <c r="AS342" i="2"/>
  <c r="AS384" i="2" s="1"/>
  <c r="AS31" i="5" s="1"/>
  <c r="AR342" i="2"/>
  <c r="AR384" i="2" s="1"/>
  <c r="AR31" i="5" s="1"/>
  <c r="AQ342" i="2"/>
  <c r="AQ384" i="2" s="1"/>
  <c r="AQ31" i="5" s="1"/>
  <c r="AP342" i="2"/>
  <c r="AP384" i="2" s="1"/>
  <c r="AP31" i="5" s="1"/>
  <c r="AO342" i="2"/>
  <c r="AO384" i="2" s="1"/>
  <c r="AO31" i="5" s="1"/>
  <c r="AM342" i="2"/>
  <c r="AM384" i="2" s="1"/>
  <c r="AM31" i="5" s="1"/>
  <c r="AL342" i="2"/>
  <c r="AL384" i="2" s="1"/>
  <c r="AL31" i="5" s="1"/>
  <c r="AK342" i="2"/>
  <c r="AK384" i="2" s="1"/>
  <c r="AK31" i="5" s="1"/>
  <c r="AJ342" i="2"/>
  <c r="AJ384" i="2" s="1"/>
  <c r="AJ31" i="5" s="1"/>
  <c r="AH342" i="2"/>
  <c r="AH384" i="2" s="1"/>
  <c r="AH31" i="5" s="1"/>
  <c r="AG342" i="2"/>
  <c r="AG384" i="2" s="1"/>
  <c r="AG31" i="5" s="1"/>
  <c r="AF342" i="2"/>
  <c r="AF384" i="2" s="1"/>
  <c r="AF31" i="5" s="1"/>
  <c r="AE342" i="2"/>
  <c r="AE384" i="2" s="1"/>
  <c r="AE31" i="5" s="1"/>
  <c r="AD342" i="2"/>
  <c r="AD384" i="2" s="1"/>
  <c r="AD31" i="5" s="1"/>
  <c r="AC342" i="2"/>
  <c r="AC384" i="2" s="1"/>
  <c r="AC31" i="5" s="1"/>
  <c r="AB342" i="2"/>
  <c r="AB384" i="2" s="1"/>
  <c r="AB31" i="5" s="1"/>
  <c r="AA342" i="2"/>
  <c r="AA384" i="2" s="1"/>
  <c r="AA31" i="5" s="1"/>
  <c r="Z342" i="2"/>
  <c r="Z384" i="2" s="1"/>
  <c r="Z31" i="5" s="1"/>
  <c r="Y342" i="2"/>
  <c r="Y384" i="2" s="1"/>
  <c r="Y31" i="5" s="1"/>
  <c r="X342" i="2"/>
  <c r="X384" i="2" s="1"/>
  <c r="X31" i="5" s="1"/>
  <c r="W342" i="2"/>
  <c r="V342" i="2"/>
  <c r="V384" i="2" s="1"/>
  <c r="V31" i="5" s="1"/>
  <c r="U342" i="2"/>
  <c r="U384" i="2" s="1"/>
  <c r="U31" i="5" s="1"/>
  <c r="T342" i="2"/>
  <c r="T384" i="2" s="1"/>
  <c r="T31" i="5" s="1"/>
  <c r="S342" i="2"/>
  <c r="S384" i="2" s="1"/>
  <c r="S31" i="5" s="1"/>
  <c r="R342" i="2"/>
  <c r="R384" i="2" s="1"/>
  <c r="R31" i="5" s="1"/>
  <c r="Q342" i="2"/>
  <c r="Q384" i="2" s="1"/>
  <c r="Q31" i="5" s="1"/>
  <c r="P342" i="2"/>
  <c r="P384" i="2" s="1"/>
  <c r="P31" i="5" s="1"/>
  <c r="O342" i="2"/>
  <c r="O384" i="2" s="1"/>
  <c r="O31" i="5" s="1"/>
  <c r="N342" i="2"/>
  <c r="N384" i="2" s="1"/>
  <c r="N31" i="5" s="1"/>
  <c r="M342" i="2"/>
  <c r="M384" i="2" s="1"/>
  <c r="M31" i="5" s="1"/>
  <c r="L342" i="2"/>
  <c r="L384" i="2" s="1"/>
  <c r="L31" i="5" s="1"/>
  <c r="K342" i="2"/>
  <c r="I342" i="2"/>
  <c r="I384" i="2" s="1"/>
  <c r="I31" i="5" s="1"/>
  <c r="H342" i="2"/>
  <c r="H384" i="2" s="1"/>
  <c r="H31" i="5" s="1"/>
  <c r="G342" i="2"/>
  <c r="G384" i="2" s="1"/>
  <c r="G31" i="5" s="1"/>
  <c r="F342" i="2"/>
  <c r="F384" i="2" s="1"/>
  <c r="F31" i="5" s="1"/>
  <c r="E342" i="2"/>
  <c r="E384" i="2" s="1"/>
  <c r="E31" i="5" s="1"/>
  <c r="D342" i="2"/>
  <c r="D384" i="2" s="1"/>
  <c r="D31" i="5" s="1"/>
  <c r="C342" i="2"/>
  <c r="C384" i="2" s="1"/>
  <c r="C31" i="5" s="1"/>
  <c r="AS341" i="2"/>
  <c r="AN341" i="2"/>
  <c r="AI341" i="2"/>
  <c r="J341" i="2"/>
  <c r="AS340" i="2"/>
  <c r="AN340" i="2"/>
  <c r="AI340" i="2"/>
  <c r="AS339" i="2"/>
  <c r="AN339" i="2"/>
  <c r="AI339" i="2"/>
  <c r="AS338" i="2"/>
  <c r="AN338" i="2"/>
  <c r="AI338" i="2"/>
  <c r="J338" i="2"/>
  <c r="J342" i="2" s="1"/>
  <c r="J384" i="2" s="1"/>
  <c r="J31" i="5" s="1"/>
  <c r="BG337" i="2"/>
  <c r="BG343" i="2" s="1"/>
  <c r="BG348" i="2" s="1"/>
  <c r="BG352" i="2" s="1"/>
  <c r="BG354" i="2" s="1"/>
  <c r="BG356" i="2" s="1"/>
  <c r="BF337" i="2"/>
  <c r="BF343" i="2" s="1"/>
  <c r="BF348" i="2" s="1"/>
  <c r="BF352" i="2" s="1"/>
  <c r="BF354" i="2" s="1"/>
  <c r="BF356" i="2" s="1"/>
  <c r="BE337" i="2"/>
  <c r="BE343" i="2" s="1"/>
  <c r="BE348" i="2" s="1"/>
  <c r="BE352" i="2" s="1"/>
  <c r="BE354" i="2" s="1"/>
  <c r="BE356" i="2" s="1"/>
  <c r="BD337" i="2"/>
  <c r="BD343" i="2" s="1"/>
  <c r="BD348" i="2" s="1"/>
  <c r="BD352" i="2" s="1"/>
  <c r="BD354" i="2" s="1"/>
  <c r="BD356" i="2" s="1"/>
  <c r="BC337" i="2"/>
  <c r="BC343" i="2" s="1"/>
  <c r="BC348" i="2" s="1"/>
  <c r="BC352" i="2" s="1"/>
  <c r="BC354" i="2" s="1"/>
  <c r="BC356" i="2" s="1"/>
  <c r="BB337" i="2"/>
  <c r="BA337" i="2"/>
  <c r="BA343" i="2" s="1"/>
  <c r="BA348" i="2" s="1"/>
  <c r="BA352" i="2" s="1"/>
  <c r="BA354" i="2" s="1"/>
  <c r="BA356" i="2" s="1"/>
  <c r="AZ337" i="2"/>
  <c r="AZ343" i="2" s="1"/>
  <c r="AZ348" i="2" s="1"/>
  <c r="AZ352" i="2" s="1"/>
  <c r="AZ354" i="2" s="1"/>
  <c r="AZ356" i="2" s="1"/>
  <c r="AY337" i="2"/>
  <c r="AX337" i="2"/>
  <c r="AX343" i="2" s="1"/>
  <c r="AX348" i="2" s="1"/>
  <c r="AX352" i="2" s="1"/>
  <c r="AX354" i="2" s="1"/>
  <c r="AX356" i="2" s="1"/>
  <c r="AW337" i="2"/>
  <c r="AW381" i="2" s="1"/>
  <c r="AW321" i="2" s="1"/>
  <c r="AV337" i="2"/>
  <c r="AV381" i="2" s="1"/>
  <c r="AV326" i="2" s="1"/>
  <c r="AU337" i="2"/>
  <c r="AT337" i="2"/>
  <c r="AT343" i="2" s="1"/>
  <c r="AT348" i="2" s="1"/>
  <c r="AR337" i="2"/>
  <c r="AR381" i="2" s="1"/>
  <c r="AQ337" i="2"/>
  <c r="AQ381" i="2" s="1"/>
  <c r="AP337" i="2"/>
  <c r="AP381" i="2" s="1"/>
  <c r="AP326" i="2" s="1"/>
  <c r="AO337" i="2"/>
  <c r="AO381" i="2" s="1"/>
  <c r="AN337" i="2"/>
  <c r="AM337" i="2"/>
  <c r="AM381" i="2" s="1"/>
  <c r="AL337" i="2"/>
  <c r="AK337" i="2"/>
  <c r="AK381" i="2" s="1"/>
  <c r="AJ337" i="2"/>
  <c r="AJ381" i="2" s="1"/>
  <c r="AJ326" i="2" s="1"/>
  <c r="AH337" i="2"/>
  <c r="AH343" i="2" s="1"/>
  <c r="AG337" i="2"/>
  <c r="AG343" i="2" s="1"/>
  <c r="AG348" i="2" s="1"/>
  <c r="AF337" i="2"/>
  <c r="AF381" i="2" s="1"/>
  <c r="AE337" i="2"/>
  <c r="AE381" i="2" s="1"/>
  <c r="AD337" i="2"/>
  <c r="AD381" i="2" s="1"/>
  <c r="AD326" i="2" s="1"/>
  <c r="AC337" i="2"/>
  <c r="AC381" i="2" s="1"/>
  <c r="AB337" i="2"/>
  <c r="AA337" i="2"/>
  <c r="AA381" i="2" s="1"/>
  <c r="Z337" i="2"/>
  <c r="Y337" i="2"/>
  <c r="Y381" i="2" s="1"/>
  <c r="X337" i="2"/>
  <c r="X381" i="2" s="1"/>
  <c r="X326" i="2" s="1"/>
  <c r="W337" i="2"/>
  <c r="V337" i="2"/>
  <c r="V343" i="2" s="1"/>
  <c r="V348" i="2" s="1"/>
  <c r="U337" i="2"/>
  <c r="U343" i="2" s="1"/>
  <c r="U348" i="2" s="1"/>
  <c r="T337" i="2"/>
  <c r="T381" i="2" s="1"/>
  <c r="S337" i="2"/>
  <c r="S381" i="2" s="1"/>
  <c r="R337" i="2"/>
  <c r="R381" i="2" s="1"/>
  <c r="R326" i="2" s="1"/>
  <c r="Q337" i="2"/>
  <c r="Q381" i="2" s="1"/>
  <c r="P337" i="2"/>
  <c r="O337" i="2"/>
  <c r="O381" i="2" s="1"/>
  <c r="N337" i="2"/>
  <c r="M337" i="2"/>
  <c r="M381" i="2" s="1"/>
  <c r="L337" i="2"/>
  <c r="L381" i="2" s="1"/>
  <c r="L326" i="2" s="1"/>
  <c r="K337" i="2"/>
  <c r="I337" i="2"/>
  <c r="I343" i="2" s="1"/>
  <c r="I348" i="2" s="1"/>
  <c r="H337" i="2"/>
  <c r="H381" i="2" s="1"/>
  <c r="H326" i="2" s="1"/>
  <c r="G337" i="2"/>
  <c r="G381" i="2" s="1"/>
  <c r="F337" i="2"/>
  <c r="F381" i="2" s="1"/>
  <c r="E337" i="2"/>
  <c r="E381" i="2" s="1"/>
  <c r="E320" i="2" s="1"/>
  <c r="E805" i="2" s="1"/>
  <c r="D337" i="2"/>
  <c r="C337" i="2"/>
  <c r="C381" i="2" s="1"/>
  <c r="AS336" i="2"/>
  <c r="AN336" i="2"/>
  <c r="AI336" i="2"/>
  <c r="J336" i="2"/>
  <c r="AS335" i="2"/>
  <c r="AN335" i="2"/>
  <c r="AI335" i="2"/>
  <c r="AS334" i="2"/>
  <c r="AN334" i="2"/>
  <c r="AI334" i="2"/>
  <c r="AS333" i="2"/>
  <c r="AN333" i="2"/>
  <c r="AI333" i="2"/>
  <c r="J333" i="2"/>
  <c r="J337" i="2" s="1"/>
  <c r="AR327" i="2"/>
  <c r="AF327" i="2"/>
  <c r="T327" i="2"/>
  <c r="H327" i="2"/>
  <c r="AW326" i="2"/>
  <c r="AT326" i="2"/>
  <c r="AR326" i="2"/>
  <c r="AQ326" i="2"/>
  <c r="AO326" i="2"/>
  <c r="AK326" i="2"/>
  <c r="AH326" i="2"/>
  <c r="AF326" i="2"/>
  <c r="AE326" i="2"/>
  <c r="AC326" i="2"/>
  <c r="Y326" i="2"/>
  <c r="V326" i="2"/>
  <c r="T326" i="2"/>
  <c r="S326" i="2"/>
  <c r="Q326" i="2"/>
  <c r="M326" i="2"/>
  <c r="G326" i="2"/>
  <c r="F326" i="2"/>
  <c r="E326" i="2"/>
  <c r="AV321" i="2"/>
  <c r="AT321" i="2"/>
  <c r="AR321" i="2"/>
  <c r="AQ321" i="2"/>
  <c r="AO321" i="2"/>
  <c r="AM321" i="2"/>
  <c r="AK321" i="2"/>
  <c r="AJ321" i="2"/>
  <c r="AH321" i="2"/>
  <c r="AF321" i="2"/>
  <c r="AE321" i="2"/>
  <c r="AC321" i="2"/>
  <c r="AA321" i="2"/>
  <c r="Y321" i="2"/>
  <c r="X321" i="2"/>
  <c r="V321" i="2"/>
  <c r="T321" i="2"/>
  <c r="S321" i="2"/>
  <c r="Q321" i="2"/>
  <c r="O321" i="2"/>
  <c r="M321" i="2"/>
  <c r="L321" i="2"/>
  <c r="F321" i="2"/>
  <c r="E321" i="2"/>
  <c r="C321" i="2"/>
  <c r="AW320" i="2"/>
  <c r="AW805" i="2" s="1"/>
  <c r="AV320" i="2"/>
  <c r="AV805" i="2" s="1"/>
  <c r="AT320" i="2"/>
  <c r="AT805" i="2" s="1"/>
  <c r="AR320" i="2"/>
  <c r="AR805" i="2" s="1"/>
  <c r="AQ320" i="2"/>
  <c r="AQ805" i="2" s="1"/>
  <c r="AP320" i="2"/>
  <c r="AP805" i="2" s="1"/>
  <c r="AO320" i="2"/>
  <c r="AO805" i="2" s="1"/>
  <c r="AK320" i="2"/>
  <c r="AK805" i="2" s="1"/>
  <c r="AJ320" i="2"/>
  <c r="AJ805" i="2" s="1"/>
  <c r="AH320" i="2"/>
  <c r="AH805" i="2" s="1"/>
  <c r="AF320" i="2"/>
  <c r="AF805" i="2" s="1"/>
  <c r="AE320" i="2"/>
  <c r="AE805" i="2" s="1"/>
  <c r="AD320" i="2"/>
  <c r="AD805" i="2" s="1"/>
  <c r="AC320" i="2"/>
  <c r="AC805" i="2" s="1"/>
  <c r="Y320" i="2"/>
  <c r="Y805" i="2" s="1"/>
  <c r="X320" i="2"/>
  <c r="X805" i="2" s="1"/>
  <c r="V320" i="2"/>
  <c r="V805" i="2" s="1"/>
  <c r="T320" i="2"/>
  <c r="T805" i="2" s="1"/>
  <c r="S320" i="2"/>
  <c r="S805" i="2" s="1"/>
  <c r="R320" i="2"/>
  <c r="R805" i="2" s="1"/>
  <c r="Q320" i="2"/>
  <c r="Q805" i="2" s="1"/>
  <c r="M320" i="2"/>
  <c r="M805" i="2" s="1"/>
  <c r="L320" i="2"/>
  <c r="L805" i="2" s="1"/>
  <c r="G320" i="2"/>
  <c r="G805" i="2" s="1"/>
  <c r="F320" i="2"/>
  <c r="F805" i="2" s="1"/>
  <c r="C320" i="2"/>
  <c r="C805" i="2" s="1"/>
  <c r="AW317" i="2"/>
  <c r="AO317" i="2"/>
  <c r="AF317" i="2"/>
  <c r="AC317" i="2"/>
  <c r="Y317" i="2"/>
  <c r="T317" i="2"/>
  <c r="Q317" i="2"/>
  <c r="M317" i="2"/>
  <c r="AW312" i="2"/>
  <c r="AV312" i="2"/>
  <c r="AV317" i="2" s="1"/>
  <c r="AT312" i="2"/>
  <c r="AT317" i="2" s="1"/>
  <c r="AQ312" i="2"/>
  <c r="AQ317" i="2" s="1"/>
  <c r="AP312" i="2"/>
  <c r="AP317" i="2" s="1"/>
  <c r="AO312" i="2"/>
  <c r="AJ312" i="2"/>
  <c r="AJ317" i="2" s="1"/>
  <c r="AH312" i="2"/>
  <c r="AH317" i="2" s="1"/>
  <c r="AF312" i="2"/>
  <c r="AE312" i="2"/>
  <c r="AE317" i="2" s="1"/>
  <c r="AD312" i="2"/>
  <c r="AD317" i="2" s="1"/>
  <c r="AC312" i="2"/>
  <c r="Y312" i="2"/>
  <c r="X312" i="2"/>
  <c r="X317" i="2" s="1"/>
  <c r="V312" i="2"/>
  <c r="V317" i="2" s="1"/>
  <c r="T312" i="2"/>
  <c r="S312" i="2"/>
  <c r="S317" i="2" s="1"/>
  <c r="R312" i="2"/>
  <c r="R317" i="2" s="1"/>
  <c r="Q312" i="2"/>
  <c r="M312" i="2"/>
  <c r="L312" i="2"/>
  <c r="L317" i="2" s="1"/>
  <c r="G312" i="2"/>
  <c r="G317" i="2" s="1"/>
  <c r="F312" i="2"/>
  <c r="F317" i="2" s="1"/>
  <c r="C312" i="2"/>
  <c r="C317" i="2" s="1"/>
  <c r="AT310" i="2"/>
  <c r="AM310" i="2"/>
  <c r="AH310" i="2"/>
  <c r="AA310" i="2"/>
  <c r="V310" i="2"/>
  <c r="O310" i="2"/>
  <c r="C310" i="2"/>
  <c r="AW309" i="2"/>
  <c r="AW310" i="2" s="1"/>
  <c r="AV309" i="2"/>
  <c r="AV310" i="2" s="1"/>
  <c r="AT309" i="2"/>
  <c r="AR309" i="2"/>
  <c r="AR310" i="2" s="1"/>
  <c r="AQ309" i="2"/>
  <c r="AQ310" i="2" s="1"/>
  <c r="AP309" i="2"/>
  <c r="AP310" i="2" s="1"/>
  <c r="AO309" i="2"/>
  <c r="AO310" i="2" s="1"/>
  <c r="AM309" i="2"/>
  <c r="AK309" i="2"/>
  <c r="AK310" i="2" s="1"/>
  <c r="AJ309" i="2"/>
  <c r="AJ310" i="2" s="1"/>
  <c r="AH309" i="2"/>
  <c r="AF309" i="2"/>
  <c r="AF310" i="2" s="1"/>
  <c r="AE309" i="2"/>
  <c r="AE310" i="2" s="1"/>
  <c r="AD309" i="2"/>
  <c r="AD310" i="2" s="1"/>
  <c r="AC309" i="2"/>
  <c r="AC310" i="2" s="1"/>
  <c r="AA309" i="2"/>
  <c r="Y309" i="2"/>
  <c r="Y310" i="2" s="1"/>
  <c r="X309" i="2"/>
  <c r="X310" i="2" s="1"/>
  <c r="V309" i="2"/>
  <c r="T309" i="2"/>
  <c r="T310" i="2" s="1"/>
  <c r="S309" i="2"/>
  <c r="S310" i="2" s="1"/>
  <c r="R309" i="2"/>
  <c r="R310" i="2" s="1"/>
  <c r="Q309" i="2"/>
  <c r="Q310" i="2" s="1"/>
  <c r="O309" i="2"/>
  <c r="M309" i="2"/>
  <c r="M310" i="2" s="1"/>
  <c r="L309" i="2"/>
  <c r="L310" i="2" s="1"/>
  <c r="H309" i="2"/>
  <c r="H310" i="2" s="1"/>
  <c r="G309" i="2"/>
  <c r="G310" i="2" s="1"/>
  <c r="F309" i="2"/>
  <c r="F310" i="2" s="1"/>
  <c r="C309" i="2"/>
  <c r="AI306" i="2"/>
  <c r="AS305" i="2"/>
  <c r="AN305" i="2"/>
  <c r="AI305" i="2"/>
  <c r="AS304" i="2"/>
  <c r="AN304" i="2"/>
  <c r="AI304" i="2"/>
  <c r="AO302" i="2"/>
  <c r="AJ302" i="2"/>
  <c r="AT301" i="2"/>
  <c r="AO301" i="2"/>
  <c r="AJ301" i="2"/>
  <c r="AW298" i="2"/>
  <c r="AV298" i="2"/>
  <c r="AU298" i="2"/>
  <c r="AT298" i="2"/>
  <c r="AS298" i="2"/>
  <c r="AR298" i="2"/>
  <c r="AQ298" i="2"/>
  <c r="AP298" i="2"/>
  <c r="AO298" i="2"/>
  <c r="AO297" i="2" s="1"/>
  <c r="AN298" i="2"/>
  <c r="AM298" i="2"/>
  <c r="AL298" i="2"/>
  <c r="AK298" i="2"/>
  <c r="AJ298" i="2"/>
  <c r="AJ297" i="2" s="1"/>
  <c r="AI298" i="2"/>
  <c r="AH298" i="2"/>
  <c r="AG298" i="2"/>
  <c r="AF298" i="2"/>
  <c r="AE298" i="2"/>
  <c r="AD298" i="2"/>
  <c r="AC298" i="2"/>
  <c r="AB298" i="2"/>
  <c r="AA298" i="2"/>
  <c r="Z298" i="2"/>
  <c r="Y298" i="2"/>
  <c r="X298" i="2"/>
  <c r="W298" i="2"/>
  <c r="V298" i="2"/>
  <c r="U298" i="2"/>
  <c r="T298" i="2"/>
  <c r="S298" i="2"/>
  <c r="R298" i="2"/>
  <c r="Q298" i="2"/>
  <c r="P298" i="2"/>
  <c r="O298" i="2"/>
  <c r="N298" i="2"/>
  <c r="M298" i="2"/>
  <c r="L298" i="2"/>
  <c r="K298" i="2"/>
  <c r="J298" i="2"/>
  <c r="I298" i="2"/>
  <c r="H298" i="2"/>
  <c r="G298" i="2"/>
  <c r="F298" i="2"/>
  <c r="E298" i="2"/>
  <c r="D298" i="2"/>
  <c r="C298" i="2"/>
  <c r="BD297" i="2"/>
  <c r="AY297" i="2"/>
  <c r="AT297" i="2"/>
  <c r="AE297" i="2"/>
  <c r="BD296" i="2"/>
  <c r="AY296" i="2"/>
  <c r="AS294" i="2"/>
  <c r="AS693" i="2" s="1"/>
  <c r="AN294" i="2"/>
  <c r="AN693" i="2" s="1"/>
  <c r="AI294" i="2"/>
  <c r="AI693" i="2" s="1"/>
  <c r="AD294" i="2"/>
  <c r="AD693" i="2" s="1"/>
  <c r="Y294" i="2"/>
  <c r="Y693" i="2" s="1"/>
  <c r="T294" i="2"/>
  <c r="T693" i="2" s="1"/>
  <c r="O294" i="2"/>
  <c r="O693" i="2" s="1"/>
  <c r="J294" i="2"/>
  <c r="J693" i="2" s="1"/>
  <c r="BG292" i="2"/>
  <c r="BG395" i="2" s="1"/>
  <c r="BG586" i="2" s="1"/>
  <c r="BF292" i="2"/>
  <c r="BF395" i="2" s="1"/>
  <c r="BF586" i="2" s="1"/>
  <c r="BE292" i="2"/>
  <c r="BE395" i="2" s="1"/>
  <c r="BE586" i="2" s="1"/>
  <c r="BC292" i="2"/>
  <c r="BC395" i="2" s="1"/>
  <c r="BC586" i="2" s="1"/>
  <c r="BB292" i="2"/>
  <c r="BB395" i="2" s="1"/>
  <c r="BA292" i="2"/>
  <c r="BA395" i="2" s="1"/>
  <c r="BA586" i="2" s="1"/>
  <c r="AZ292" i="2"/>
  <c r="AZ395" i="2" s="1"/>
  <c r="AX292" i="2"/>
  <c r="AX395" i="2" s="1"/>
  <c r="AX586" i="2" s="1"/>
  <c r="AX783" i="2" s="1"/>
  <c r="AY783" i="2" s="1"/>
  <c r="AW292" i="2"/>
  <c r="AW395" i="2" s="1"/>
  <c r="AW327" i="2" s="1"/>
  <c r="AV292" i="2"/>
  <c r="AV395" i="2" s="1"/>
  <c r="AV327" i="2" s="1"/>
  <c r="AU292" i="2"/>
  <c r="AU395" i="2" s="1"/>
  <c r="AT292" i="2"/>
  <c r="AT395" i="2" s="1"/>
  <c r="AT327" i="2" s="1"/>
  <c r="AR292" i="2"/>
  <c r="AR395" i="2" s="1"/>
  <c r="AQ292" i="2"/>
  <c r="AQ395" i="2" s="1"/>
  <c r="AQ327" i="2" s="1"/>
  <c r="AP292" i="2"/>
  <c r="AP395" i="2" s="1"/>
  <c r="AP327" i="2" s="1"/>
  <c r="AO292" i="2"/>
  <c r="AO395" i="2" s="1"/>
  <c r="AO327" i="2" s="1"/>
  <c r="AM292" i="2"/>
  <c r="AM395" i="2" s="1"/>
  <c r="AM327" i="2" s="1"/>
  <c r="AL292" i="2"/>
  <c r="AL395" i="2" s="1"/>
  <c r="AK292" i="2"/>
  <c r="AK395" i="2" s="1"/>
  <c r="AK327" i="2" s="1"/>
  <c r="AJ292" i="2"/>
  <c r="AJ395" i="2" s="1"/>
  <c r="AJ327" i="2" s="1"/>
  <c r="AH292" i="2"/>
  <c r="AH395" i="2" s="1"/>
  <c r="AH327" i="2" s="1"/>
  <c r="AG292" i="2"/>
  <c r="AG395" i="2" s="1"/>
  <c r="AF292" i="2"/>
  <c r="AF395" i="2" s="1"/>
  <c r="AE292" i="2"/>
  <c r="AE395" i="2" s="1"/>
  <c r="AE327" i="2" s="1"/>
  <c r="AD292" i="2"/>
  <c r="AD395" i="2" s="1"/>
  <c r="AD327" i="2" s="1"/>
  <c r="AC292" i="2"/>
  <c r="AC395" i="2" s="1"/>
  <c r="AC327" i="2" s="1"/>
  <c r="AB292" i="2"/>
  <c r="AB395" i="2" s="1"/>
  <c r="AA292" i="2"/>
  <c r="AA395" i="2" s="1"/>
  <c r="AA327" i="2" s="1"/>
  <c r="Z292" i="2"/>
  <c r="Z395" i="2" s="1"/>
  <c r="Y292" i="2"/>
  <c r="Y395" i="2" s="1"/>
  <c r="Y327" i="2" s="1"/>
  <c r="X292" i="2"/>
  <c r="X395" i="2" s="1"/>
  <c r="X327" i="2" s="1"/>
  <c r="W292" i="2"/>
  <c r="W395" i="2" s="1"/>
  <c r="V292" i="2"/>
  <c r="V395" i="2" s="1"/>
  <c r="V327" i="2" s="1"/>
  <c r="U292" i="2"/>
  <c r="U395" i="2" s="1"/>
  <c r="T292" i="2"/>
  <c r="T395" i="2" s="1"/>
  <c r="S292" i="2"/>
  <c r="S395" i="2" s="1"/>
  <c r="S327" i="2" s="1"/>
  <c r="R292" i="2"/>
  <c r="R395" i="2" s="1"/>
  <c r="R327" i="2" s="1"/>
  <c r="Q292" i="2"/>
  <c r="Q395" i="2" s="1"/>
  <c r="Q327" i="2" s="1"/>
  <c r="O292" i="2"/>
  <c r="O395" i="2" s="1"/>
  <c r="O327" i="2" s="1"/>
  <c r="N292" i="2"/>
  <c r="N395" i="2" s="1"/>
  <c r="M292" i="2"/>
  <c r="M395" i="2" s="1"/>
  <c r="M327" i="2" s="1"/>
  <c r="L292" i="2"/>
  <c r="L395" i="2" s="1"/>
  <c r="L327" i="2" s="1"/>
  <c r="J292" i="2"/>
  <c r="J395" i="2" s="1"/>
  <c r="I292" i="2"/>
  <c r="I395" i="2" s="1"/>
  <c r="H292" i="2"/>
  <c r="H395" i="2" s="1"/>
  <c r="G292" i="2"/>
  <c r="G395" i="2" s="1"/>
  <c r="G327" i="2" s="1"/>
  <c r="F292" i="2"/>
  <c r="F395" i="2" s="1"/>
  <c r="F327" i="2" s="1"/>
  <c r="E292" i="2"/>
  <c r="E395" i="2" s="1"/>
  <c r="E327" i="2" s="1"/>
  <c r="D292" i="2"/>
  <c r="D395" i="2" s="1"/>
  <c r="BD291" i="2"/>
  <c r="AY291" i="2"/>
  <c r="AN291" i="2"/>
  <c r="BD290" i="2"/>
  <c r="AY290" i="2"/>
  <c r="AS290" i="2"/>
  <c r="AN290" i="2"/>
  <c r="AI290" i="2"/>
  <c r="U290" i="2"/>
  <c r="P290" i="2"/>
  <c r="K290" i="2"/>
  <c r="BD289" i="2"/>
  <c r="AY289" i="2"/>
  <c r="AS289" i="2"/>
  <c r="AN289" i="2"/>
  <c r="AI289" i="2"/>
  <c r="AI292" i="2" s="1"/>
  <c r="AI395" i="2" s="1"/>
  <c r="U289" i="2"/>
  <c r="P289" i="2"/>
  <c r="K289" i="2"/>
  <c r="BD288" i="2"/>
  <c r="AY288" i="2"/>
  <c r="AY292" i="2" s="1"/>
  <c r="AS288" i="2"/>
  <c r="AN288" i="2"/>
  <c r="AN292" i="2" s="1"/>
  <c r="AN395" i="2" s="1"/>
  <c r="AI288" i="2"/>
  <c r="U288" i="2"/>
  <c r="P288" i="2"/>
  <c r="K288" i="2"/>
  <c r="K292" i="2" s="1"/>
  <c r="K395" i="2" s="1"/>
  <c r="AV274" i="2"/>
  <c r="AJ274" i="2"/>
  <c r="F274" i="2"/>
  <c r="BD273" i="2"/>
  <c r="AW273" i="2"/>
  <c r="AY273" i="2" s="1"/>
  <c r="AV273" i="2"/>
  <c r="AU273" i="2"/>
  <c r="AT273" i="2"/>
  <c r="AS273" i="2"/>
  <c r="AR273" i="2"/>
  <c r="AQ273" i="2"/>
  <c r="AP273" i="2"/>
  <c r="AO273" i="2"/>
  <c r="AN273" i="2"/>
  <c r="AM273" i="2"/>
  <c r="AL273" i="2"/>
  <c r="AK273" i="2"/>
  <c r="AJ273" i="2"/>
  <c r="AH273" i="2"/>
  <c r="AG273" i="2"/>
  <c r="AF273" i="2"/>
  <c r="AE273" i="2"/>
  <c r="AD273" i="2"/>
  <c r="AC273" i="2"/>
  <c r="AB273" i="2"/>
  <c r="AA273" i="2"/>
  <c r="Z273" i="2"/>
  <c r="Y273" i="2"/>
  <c r="X273" i="2"/>
  <c r="W273" i="2"/>
  <c r="V273" i="2"/>
  <c r="U273" i="2"/>
  <c r="T273" i="2"/>
  <c r="S273" i="2"/>
  <c r="R273" i="2"/>
  <c r="Q273" i="2"/>
  <c r="P273" i="2"/>
  <c r="O273" i="2"/>
  <c r="N273" i="2"/>
  <c r="M273" i="2"/>
  <c r="L273" i="2"/>
  <c r="K273" i="2"/>
  <c r="J273" i="2"/>
  <c r="I273" i="2"/>
  <c r="H273" i="2"/>
  <c r="G273" i="2"/>
  <c r="F273" i="2"/>
  <c r="E273" i="2"/>
  <c r="D273" i="2"/>
  <c r="C273" i="2"/>
  <c r="AP270" i="2"/>
  <c r="AD270" i="2"/>
  <c r="R270" i="2"/>
  <c r="N270" i="2"/>
  <c r="G270" i="2"/>
  <c r="AU269" i="2"/>
  <c r="AS269" i="2"/>
  <c r="AP269" i="2"/>
  <c r="AN269" i="2"/>
  <c r="AL269" i="2"/>
  <c r="AI269" i="2"/>
  <c r="AG269" i="2"/>
  <c r="AB269" i="2"/>
  <c r="Z269" i="2"/>
  <c r="W269" i="2"/>
  <c r="U269" i="2"/>
  <c r="R269" i="2"/>
  <c r="P269" i="2"/>
  <c r="N269" i="2"/>
  <c r="K269" i="2"/>
  <c r="E269" i="2"/>
  <c r="AW268" i="2"/>
  <c r="AV268" i="2"/>
  <c r="AU268" i="2"/>
  <c r="AT268" i="2"/>
  <c r="AS268" i="2"/>
  <c r="AR268" i="2"/>
  <c r="AQ268" i="2"/>
  <c r="AP268" i="2"/>
  <c r="AO268" i="2"/>
  <c r="AO269" i="2" s="1"/>
  <c r="AN268" i="2"/>
  <c r="AN270" i="2" s="1"/>
  <c r="AM268" i="2"/>
  <c r="AM269" i="2" s="1"/>
  <c r="AL268" i="2"/>
  <c r="AK268" i="2"/>
  <c r="AJ268" i="2"/>
  <c r="AI268" i="2"/>
  <c r="AH268" i="2"/>
  <c r="AG268" i="2"/>
  <c r="AF268" i="2"/>
  <c r="AE268" i="2"/>
  <c r="AD268" i="2"/>
  <c r="AC268" i="2"/>
  <c r="AC269" i="2" s="1"/>
  <c r="AB268" i="2"/>
  <c r="AB270" i="2" s="1"/>
  <c r="AB271" i="2" s="1"/>
  <c r="AA268" i="2"/>
  <c r="Z268" i="2"/>
  <c r="Y268" i="2"/>
  <c r="X268" i="2"/>
  <c r="W268" i="2"/>
  <c r="V268" i="2"/>
  <c r="U268" i="2"/>
  <c r="T268" i="2"/>
  <c r="S268" i="2"/>
  <c r="R268" i="2"/>
  <c r="Q268" i="2"/>
  <c r="Q269" i="2" s="1"/>
  <c r="P268" i="2"/>
  <c r="P270" i="2" s="1"/>
  <c r="P271" i="2" s="1"/>
  <c r="O268" i="2"/>
  <c r="O269" i="2" s="1"/>
  <c r="N268" i="2"/>
  <c r="M268" i="2"/>
  <c r="L268" i="2"/>
  <c r="K268" i="2"/>
  <c r="J268" i="2"/>
  <c r="J270" i="2" s="1"/>
  <c r="I268" i="2"/>
  <c r="H268" i="2"/>
  <c r="H270" i="2" s="1"/>
  <c r="G268" i="2"/>
  <c r="F268" i="2"/>
  <c r="F269" i="2" s="1"/>
  <c r="E268" i="2"/>
  <c r="D268" i="2"/>
  <c r="D270" i="2" s="1"/>
  <c r="C268" i="2"/>
  <c r="AW265" i="2"/>
  <c r="AR265" i="2"/>
  <c r="AR266" i="2" s="1"/>
  <c r="AP265" i="2"/>
  <c r="AK265" i="2"/>
  <c r="AD265" i="2"/>
  <c r="R265" i="2"/>
  <c r="O265" i="2"/>
  <c r="AV264" i="2"/>
  <c r="AT264" i="2"/>
  <c r="AS264" i="2"/>
  <c r="AR264" i="2"/>
  <c r="AO264" i="2"/>
  <c r="AM264" i="2"/>
  <c r="AJ264" i="2"/>
  <c r="AH264" i="2"/>
  <c r="AG264" i="2"/>
  <c r="AF264" i="2"/>
  <c r="AC264" i="2"/>
  <c r="AA264" i="2"/>
  <c r="X264" i="2"/>
  <c r="V264" i="2"/>
  <c r="U264" i="2"/>
  <c r="T264" i="2"/>
  <c r="Q264" i="2"/>
  <c r="O264" i="2"/>
  <c r="L264" i="2"/>
  <c r="F264" i="2"/>
  <c r="E264" i="2"/>
  <c r="AW263" i="2"/>
  <c r="AW264" i="2" s="1"/>
  <c r="AV263" i="2"/>
  <c r="AU263" i="2"/>
  <c r="AU264" i="2" s="1"/>
  <c r="AT263" i="2"/>
  <c r="AS263" i="2"/>
  <c r="AR263" i="2"/>
  <c r="AQ263" i="2"/>
  <c r="AP263" i="2"/>
  <c r="AP264" i="2" s="1"/>
  <c r="AO263" i="2"/>
  <c r="AN263" i="2"/>
  <c r="AM263" i="2"/>
  <c r="AL263" i="2"/>
  <c r="AK263" i="2"/>
  <c r="AK264" i="2" s="1"/>
  <c r="AJ263" i="2"/>
  <c r="AI263" i="2"/>
  <c r="AI264" i="2" s="1"/>
  <c r="AH263" i="2"/>
  <c r="AG263" i="2"/>
  <c r="AG265" i="2" s="1"/>
  <c r="AF263" i="2"/>
  <c r="AE263" i="2"/>
  <c r="AD263" i="2"/>
  <c r="AD264" i="2" s="1"/>
  <c r="AC263" i="2"/>
  <c r="AB263" i="2"/>
  <c r="AA263" i="2"/>
  <c r="Z263" i="2"/>
  <c r="Y263" i="2"/>
  <c r="Y264" i="2" s="1"/>
  <c r="X263" i="2"/>
  <c r="W263" i="2"/>
  <c r="W264" i="2" s="1"/>
  <c r="V263" i="2"/>
  <c r="U263" i="2"/>
  <c r="U265" i="2" s="1"/>
  <c r="T263" i="2"/>
  <c r="S263" i="2"/>
  <c r="R263" i="2"/>
  <c r="R264" i="2" s="1"/>
  <c r="Q263" i="2"/>
  <c r="P263" i="2"/>
  <c r="O263" i="2"/>
  <c r="N263" i="2"/>
  <c r="M263" i="2"/>
  <c r="M264" i="2" s="1"/>
  <c r="L263" i="2"/>
  <c r="K263" i="2"/>
  <c r="K264" i="2" s="1"/>
  <c r="J263" i="2"/>
  <c r="I263" i="2"/>
  <c r="I265" i="2" s="1"/>
  <c r="H263" i="2"/>
  <c r="G263" i="2"/>
  <c r="G265" i="2" s="1"/>
  <c r="F263" i="2"/>
  <c r="E263" i="2"/>
  <c r="D263" i="2"/>
  <c r="C263" i="2"/>
  <c r="AH259" i="2"/>
  <c r="V259" i="2"/>
  <c r="AV257" i="2"/>
  <c r="AV259" i="2" s="1"/>
  <c r="AT257" i="2"/>
  <c r="AT274" i="2" s="1"/>
  <c r="AR257" i="2"/>
  <c r="AP257" i="2"/>
  <c r="AJ257" i="2"/>
  <c r="AJ259" i="2" s="1"/>
  <c r="AH257" i="2"/>
  <c r="AG257" i="2"/>
  <c r="AD257" i="2"/>
  <c r="AD274" i="2" s="1"/>
  <c r="AA257" i="2"/>
  <c r="V257" i="2"/>
  <c r="U257" i="2"/>
  <c r="R257" i="2"/>
  <c r="R274" i="2" s="1"/>
  <c r="O257" i="2"/>
  <c r="I257" i="2"/>
  <c r="F257" i="2"/>
  <c r="AW256" i="2"/>
  <c r="AV256" i="2"/>
  <c r="AU256" i="2"/>
  <c r="AT256" i="2"/>
  <c r="AS256" i="2"/>
  <c r="AR256" i="2"/>
  <c r="AQ256" i="2"/>
  <c r="AP256" i="2"/>
  <c r="AO256" i="2"/>
  <c r="AM256" i="2"/>
  <c r="AL256" i="2"/>
  <c r="AK256" i="2"/>
  <c r="AJ256" i="2"/>
  <c r="AH256" i="2"/>
  <c r="AG256" i="2"/>
  <c r="AF256" i="2"/>
  <c r="AE256" i="2"/>
  <c r="AD256" i="2"/>
  <c r="AC256" i="2"/>
  <c r="AB256" i="2"/>
  <c r="AA256" i="2"/>
  <c r="Z256" i="2"/>
  <c r="Y256" i="2"/>
  <c r="X256" i="2"/>
  <c r="W256" i="2"/>
  <c r="V256" i="2"/>
  <c r="U256" i="2"/>
  <c r="T256" i="2"/>
  <c r="S256" i="2"/>
  <c r="R256" i="2"/>
  <c r="Q256" i="2"/>
  <c r="P256" i="2"/>
  <c r="O256" i="2"/>
  <c r="N256" i="2"/>
  <c r="M256" i="2"/>
  <c r="L256" i="2"/>
  <c r="K256" i="2"/>
  <c r="J256" i="2"/>
  <c r="I256" i="2"/>
  <c r="H256" i="2"/>
  <c r="G256" i="2"/>
  <c r="F256" i="2"/>
  <c r="E256" i="2"/>
  <c r="D256" i="2"/>
  <c r="C256" i="2"/>
  <c r="AW255" i="2"/>
  <c r="AV255" i="2"/>
  <c r="AV265" i="2" s="1"/>
  <c r="AU255" i="2"/>
  <c r="AU270" i="2" s="1"/>
  <c r="AT255" i="2"/>
  <c r="AT259" i="2" s="1"/>
  <c r="AR255" i="2"/>
  <c r="AR259" i="2" s="1"/>
  <c r="AQ255" i="2"/>
  <c r="AP255" i="2"/>
  <c r="AO255" i="2"/>
  <c r="AN255" i="2"/>
  <c r="AM255" i="2"/>
  <c r="AM265" i="2" s="1"/>
  <c r="AL255" i="2"/>
  <c r="AL270" i="2" s="1"/>
  <c r="AK255" i="2"/>
  <c r="AJ255" i="2"/>
  <c r="AJ270" i="2" s="1"/>
  <c r="AH255" i="2"/>
  <c r="AG255" i="2"/>
  <c r="AG270" i="2" s="1"/>
  <c r="AG271" i="2" s="1"/>
  <c r="AF255" i="2"/>
  <c r="AF265" i="2" s="1"/>
  <c r="AE255" i="2"/>
  <c r="AD255" i="2"/>
  <c r="AC255" i="2"/>
  <c r="AB255" i="2"/>
  <c r="AA255" i="2"/>
  <c r="AA265" i="2" s="1"/>
  <c r="Z255" i="2"/>
  <c r="Z270" i="2" s="1"/>
  <c r="Y255" i="2"/>
  <c r="X255" i="2"/>
  <c r="X265" i="2" s="1"/>
  <c r="W255" i="2"/>
  <c r="W270" i="2" s="1"/>
  <c r="W271" i="2" s="1"/>
  <c r="V255" i="2"/>
  <c r="U255" i="2"/>
  <c r="U270" i="2" s="1"/>
  <c r="U271" i="2" s="1"/>
  <c r="T255" i="2"/>
  <c r="T265" i="2" s="1"/>
  <c r="T266" i="2" s="1"/>
  <c r="S255" i="2"/>
  <c r="R255" i="2"/>
  <c r="Q255" i="2"/>
  <c r="P255" i="2"/>
  <c r="O255" i="2"/>
  <c r="N255" i="2"/>
  <c r="M255" i="2"/>
  <c r="L255" i="2"/>
  <c r="L265" i="2" s="1"/>
  <c r="L266" i="2" s="1"/>
  <c r="K255" i="2"/>
  <c r="K270" i="2" s="1"/>
  <c r="J255" i="2"/>
  <c r="I255" i="2"/>
  <c r="I270" i="2" s="1"/>
  <c r="H255" i="2"/>
  <c r="H265" i="2" s="1"/>
  <c r="G255" i="2"/>
  <c r="F255" i="2"/>
  <c r="F265" i="2" s="1"/>
  <c r="E255" i="2"/>
  <c r="D255" i="2"/>
  <c r="C255" i="2"/>
  <c r="C265" i="2" s="1"/>
  <c r="AR244" i="2"/>
  <c r="AR217" i="2" s="1"/>
  <c r="AR218" i="2" s="1"/>
  <c r="AR316" i="2" s="1"/>
  <c r="AP244" i="2"/>
  <c r="AF244" i="2"/>
  <c r="AF217" i="2" s="1"/>
  <c r="AF218" i="2" s="1"/>
  <c r="AF316" i="2" s="1"/>
  <c r="AD244" i="2"/>
  <c r="AO243" i="2"/>
  <c r="AC243" i="2"/>
  <c r="S243" i="2"/>
  <c r="Q243" i="2"/>
  <c r="G243" i="2"/>
  <c r="E243" i="2"/>
  <c r="C243" i="2"/>
  <c r="AL242" i="2"/>
  <c r="AI242" i="2"/>
  <c r="AF242" i="2"/>
  <c r="Z242" i="2"/>
  <c r="AR241" i="2"/>
  <c r="AL241" i="2"/>
  <c r="AI241" i="2"/>
  <c r="AF241" i="2"/>
  <c r="Z241" i="2"/>
  <c r="W241" i="2"/>
  <c r="T241" i="2"/>
  <c r="N241" i="2"/>
  <c r="K241" i="2"/>
  <c r="H241" i="2"/>
  <c r="AM239" i="2"/>
  <c r="AL239" i="2"/>
  <c r="AK239" i="2"/>
  <c r="AH239" i="2"/>
  <c r="AG239" i="2"/>
  <c r="AC239" i="2"/>
  <c r="AB239" i="2"/>
  <c r="AA239" i="2"/>
  <c r="X239" i="2"/>
  <c r="W239" i="2"/>
  <c r="V239" i="2"/>
  <c r="U239" i="2"/>
  <c r="T239" i="2"/>
  <c r="S239" i="2"/>
  <c r="R239" i="2"/>
  <c r="Q239" i="2"/>
  <c r="P239" i="2"/>
  <c r="O239" i="2"/>
  <c r="N239" i="2"/>
  <c r="M239" i="2"/>
  <c r="L239" i="2"/>
  <c r="K239" i="2"/>
  <c r="J239" i="2"/>
  <c r="I239" i="2"/>
  <c r="H239" i="2"/>
  <c r="G239" i="2"/>
  <c r="F239" i="2"/>
  <c r="E239" i="2"/>
  <c r="D239" i="2"/>
  <c r="C239" i="2"/>
  <c r="AW238" i="2"/>
  <c r="AW239" i="2" s="1"/>
  <c r="AV238" i="2"/>
  <c r="AU238" i="2"/>
  <c r="AT238" i="2"/>
  <c r="AS238" i="2"/>
  <c r="AR238" i="2"/>
  <c r="AQ238" i="2"/>
  <c r="AP238" i="2"/>
  <c r="AO238" i="2"/>
  <c r="AN238" i="2"/>
  <c r="AK238" i="2"/>
  <c r="AJ238" i="2"/>
  <c r="AI238" i="2"/>
  <c r="AI239" i="2" s="1"/>
  <c r="AE238" i="2"/>
  <c r="AD238" i="2"/>
  <c r="Z238" i="2"/>
  <c r="Y238" i="2"/>
  <c r="AW237" i="2"/>
  <c r="AV237" i="2"/>
  <c r="AU237" i="2"/>
  <c r="AT237" i="2"/>
  <c r="AS237" i="2"/>
  <c r="AR237" i="2"/>
  <c r="AQ237" i="2"/>
  <c r="AQ243" i="2" s="1"/>
  <c r="AP237" i="2"/>
  <c r="AO237" i="2"/>
  <c r="AN237" i="2"/>
  <c r="AK237" i="2"/>
  <c r="AJ237" i="2"/>
  <c r="AI237" i="2"/>
  <c r="AE237" i="2"/>
  <c r="AE243" i="2" s="1"/>
  <c r="AD237" i="2"/>
  <c r="Z237" i="2"/>
  <c r="Y237" i="2"/>
  <c r="J237" i="2"/>
  <c r="AW236" i="2"/>
  <c r="AV236" i="2"/>
  <c r="AU236" i="2"/>
  <c r="AT236" i="2"/>
  <c r="AS236" i="2"/>
  <c r="AR236" i="2"/>
  <c r="AQ236" i="2"/>
  <c r="AP236" i="2"/>
  <c r="AO236" i="2"/>
  <c r="AN236" i="2"/>
  <c r="AK236" i="2"/>
  <c r="AJ236" i="2"/>
  <c r="AI236" i="2"/>
  <c r="AE236" i="2"/>
  <c r="AD236" i="2"/>
  <c r="Z236" i="2"/>
  <c r="Y236" i="2"/>
  <c r="Y239" i="2" s="1"/>
  <c r="AW235" i="2"/>
  <c r="AV235" i="2"/>
  <c r="AV239" i="2" s="1"/>
  <c r="AU235" i="2"/>
  <c r="AT235" i="2"/>
  <c r="AT239" i="2" s="1"/>
  <c r="AS235" i="2"/>
  <c r="AS239" i="2" s="1"/>
  <c r="AR235" i="2"/>
  <c r="AQ235" i="2"/>
  <c r="AQ239" i="2" s="1"/>
  <c r="AP235" i="2"/>
  <c r="AP239" i="2" s="1"/>
  <c r="AO235" i="2"/>
  <c r="AO239" i="2" s="1"/>
  <c r="AN235" i="2"/>
  <c r="AN239" i="2" s="1"/>
  <c r="AK235" i="2"/>
  <c r="AJ235" i="2"/>
  <c r="AJ239" i="2" s="1"/>
  <c r="AI235" i="2"/>
  <c r="AE235" i="2"/>
  <c r="AD235" i="2"/>
  <c r="AD239" i="2" s="1"/>
  <c r="Z235" i="2"/>
  <c r="Z239" i="2" s="1"/>
  <c r="Y235" i="2"/>
  <c r="J235" i="2"/>
  <c r="AD232" i="2"/>
  <c r="O231" i="2"/>
  <c r="C231" i="2"/>
  <c r="AD230" i="2"/>
  <c r="R230" i="2"/>
  <c r="O229" i="2"/>
  <c r="C229" i="2"/>
  <c r="AP228" i="2"/>
  <c r="AP230" i="2" s="1"/>
  <c r="AD228" i="2"/>
  <c r="X228" i="2"/>
  <c r="R228" i="2"/>
  <c r="O228" i="2"/>
  <c r="O23" i="5" s="1"/>
  <c r="L228" i="2"/>
  <c r="F228" i="2"/>
  <c r="C228" i="2"/>
  <c r="C23" i="5" s="1"/>
  <c r="AW227" i="2"/>
  <c r="AW22" i="5" s="1"/>
  <c r="AV227" i="2"/>
  <c r="AV22" i="5" s="1"/>
  <c r="AU227" i="2"/>
  <c r="AU22" i="5" s="1"/>
  <c r="AT227" i="2"/>
  <c r="AT22" i="5" s="1"/>
  <c r="AS227" i="2"/>
  <c r="AR227" i="2"/>
  <c r="AR22" i="5" s="1"/>
  <c r="AQ227" i="2"/>
  <c r="AQ22" i="5" s="1"/>
  <c r="AP227" i="2"/>
  <c r="AP22" i="5" s="1"/>
  <c r="AO227" i="2"/>
  <c r="AO22" i="5" s="1"/>
  <c r="AN227" i="2"/>
  <c r="AN22" i="5" s="1"/>
  <c r="AM227" i="2"/>
  <c r="AL227" i="2"/>
  <c r="AL22" i="5" s="1"/>
  <c r="AK227" i="2"/>
  <c r="AK22" i="5" s="1"/>
  <c r="AJ227" i="2"/>
  <c r="AJ22" i="5" s="1"/>
  <c r="AI227" i="2"/>
  <c r="AI22" i="5" s="1"/>
  <c r="AH227" i="2"/>
  <c r="AH22" i="5" s="1"/>
  <c r="AG227" i="2"/>
  <c r="AF227" i="2"/>
  <c r="AF22" i="5" s="1"/>
  <c r="AE227" i="2"/>
  <c r="AE22" i="5" s="1"/>
  <c r="AD227" i="2"/>
  <c r="AD22" i="5" s="1"/>
  <c r="AC227" i="2"/>
  <c r="AC22" i="5" s="1"/>
  <c r="AB227" i="2"/>
  <c r="AB22" i="5" s="1"/>
  <c r="AA227" i="2"/>
  <c r="Z227" i="2"/>
  <c r="Z244" i="2" s="1"/>
  <c r="Y227" i="2"/>
  <c r="Y244" i="2" s="1"/>
  <c r="AW226" i="2"/>
  <c r="AW21" i="5" s="1"/>
  <c r="AV226" i="2"/>
  <c r="AV21" i="5" s="1"/>
  <c r="AU226" i="2"/>
  <c r="AT226" i="2"/>
  <c r="AT21" i="5" s="1"/>
  <c r="AS226" i="2"/>
  <c r="AS21" i="5" s="1"/>
  <c r="AR226" i="2"/>
  <c r="AQ226" i="2"/>
  <c r="AQ21" i="5" s="1"/>
  <c r="AP226" i="2"/>
  <c r="AP21" i="5" s="1"/>
  <c r="AO226" i="2"/>
  <c r="AO21" i="5" s="1"/>
  <c r="AN226" i="2"/>
  <c r="AN21" i="5" s="1"/>
  <c r="AM226" i="2"/>
  <c r="AM21" i="5" s="1"/>
  <c r="AL226" i="2"/>
  <c r="AK226" i="2"/>
  <c r="AK21" i="5" s="1"/>
  <c r="AJ226" i="2"/>
  <c r="AJ21" i="5" s="1"/>
  <c r="AI226" i="2"/>
  <c r="AH226" i="2"/>
  <c r="AH21" i="5" s="1"/>
  <c r="AG226" i="2"/>
  <c r="AG21" i="5" s="1"/>
  <c r="AF226" i="2"/>
  <c r="AE226" i="2"/>
  <c r="AE21" i="5" s="1"/>
  <c r="AD226" i="2"/>
  <c r="AD21" i="5" s="1"/>
  <c r="AC226" i="2"/>
  <c r="AC21" i="5" s="1"/>
  <c r="AB226" i="2"/>
  <c r="AB21" i="5" s="1"/>
  <c r="AA226" i="2"/>
  <c r="AA21" i="5" s="1"/>
  <c r="Z226" i="2"/>
  <c r="Y226" i="2"/>
  <c r="Y21" i="5" s="1"/>
  <c r="X226" i="2"/>
  <c r="X21" i="5" s="1"/>
  <c r="W226" i="2"/>
  <c r="V226" i="2"/>
  <c r="V21" i="5" s="1"/>
  <c r="U226" i="2"/>
  <c r="U21" i="5" s="1"/>
  <c r="T226" i="2"/>
  <c r="S226" i="2"/>
  <c r="S21" i="5" s="1"/>
  <c r="R226" i="2"/>
  <c r="R21" i="5" s="1"/>
  <c r="Q226" i="2"/>
  <c r="Q21" i="5" s="1"/>
  <c r="P226" i="2"/>
  <c r="P21" i="5" s="1"/>
  <c r="O226" i="2"/>
  <c r="O21" i="5" s="1"/>
  <c r="N226" i="2"/>
  <c r="M226" i="2"/>
  <c r="M21" i="5" s="1"/>
  <c r="L226" i="2"/>
  <c r="L21" i="5" s="1"/>
  <c r="K226" i="2"/>
  <c r="J226" i="2"/>
  <c r="J21" i="5" s="1"/>
  <c r="I226" i="2"/>
  <c r="I21" i="5" s="1"/>
  <c r="H226" i="2"/>
  <c r="G226" i="2"/>
  <c r="G21" i="5" s="1"/>
  <c r="F226" i="2"/>
  <c r="F21" i="5" s="1"/>
  <c r="E226" i="2"/>
  <c r="E21" i="5" s="1"/>
  <c r="D226" i="2"/>
  <c r="AW225" i="2"/>
  <c r="AW20" i="5" s="1"/>
  <c r="AV225" i="2"/>
  <c r="AU225" i="2"/>
  <c r="AU20" i="5" s="1"/>
  <c r="AT225" i="2"/>
  <c r="AS225" i="2"/>
  <c r="AS20" i="5" s="1"/>
  <c r="AR225" i="2"/>
  <c r="AR20" i="5" s="1"/>
  <c r="AQ225" i="2"/>
  <c r="AP225" i="2"/>
  <c r="AP20" i="5" s="1"/>
  <c r="AO225" i="2"/>
  <c r="AO20" i="5" s="1"/>
  <c r="AN225" i="2"/>
  <c r="AN167" i="2" s="1"/>
  <c r="AM225" i="2"/>
  <c r="AM20" i="5" s="1"/>
  <c r="AL225" i="2"/>
  <c r="AL20" i="5" s="1"/>
  <c r="AK225" i="2"/>
  <c r="AK20" i="5" s="1"/>
  <c r="AJ225" i="2"/>
  <c r="AI225" i="2"/>
  <c r="AI20" i="5" s="1"/>
  <c r="AH225" i="2"/>
  <c r="AG225" i="2"/>
  <c r="AG20" i="5" s="1"/>
  <c r="AF225" i="2"/>
  <c r="AF20" i="5" s="1"/>
  <c r="AE225" i="2"/>
  <c r="AD225" i="2"/>
  <c r="AD20" i="5" s="1"/>
  <c r="AC225" i="2"/>
  <c r="AC20" i="5" s="1"/>
  <c r="AB225" i="2"/>
  <c r="AB167" i="2" s="1"/>
  <c r="AA225" i="2"/>
  <c r="AA20" i="5" s="1"/>
  <c r="Z225" i="2"/>
  <c r="Z20" i="5" s="1"/>
  <c r="Y225" i="2"/>
  <c r="Y20" i="5" s="1"/>
  <c r="X225" i="2"/>
  <c r="AW224" i="2"/>
  <c r="AW241" i="2" s="1"/>
  <c r="AV224" i="2"/>
  <c r="AV228" i="2" s="1"/>
  <c r="AU224" i="2"/>
  <c r="AU228" i="2" s="1"/>
  <c r="AT224" i="2"/>
  <c r="AS224" i="2"/>
  <c r="AS241" i="2" s="1"/>
  <c r="AR224" i="2"/>
  <c r="AQ224" i="2"/>
  <c r="AP224" i="2"/>
  <c r="AO224" i="2"/>
  <c r="AN224" i="2"/>
  <c r="AM224" i="2"/>
  <c r="AL224" i="2"/>
  <c r="AL228" i="2" s="1"/>
  <c r="AK224" i="2"/>
  <c r="AK241" i="2" s="1"/>
  <c r="AJ224" i="2"/>
  <c r="AJ228" i="2" s="1"/>
  <c r="AI224" i="2"/>
  <c r="AI228" i="2" s="1"/>
  <c r="AH224" i="2"/>
  <c r="AG224" i="2"/>
  <c r="AG241" i="2" s="1"/>
  <c r="AF224" i="2"/>
  <c r="AE224" i="2"/>
  <c r="AD224" i="2"/>
  <c r="AC224" i="2"/>
  <c r="AB224" i="2"/>
  <c r="AA224" i="2"/>
  <c r="Z224" i="2"/>
  <c r="Z228" i="2" s="1"/>
  <c r="Y224" i="2"/>
  <c r="Y241" i="2" s="1"/>
  <c r="X224" i="2"/>
  <c r="W224" i="2"/>
  <c r="W228" i="2" s="1"/>
  <c r="V224" i="2"/>
  <c r="U224" i="2"/>
  <c r="U241" i="2" s="1"/>
  <c r="T224" i="2"/>
  <c r="S224" i="2"/>
  <c r="R224" i="2"/>
  <c r="Q224" i="2"/>
  <c r="P224" i="2"/>
  <c r="O224" i="2"/>
  <c r="N224" i="2"/>
  <c r="N228" i="2" s="1"/>
  <c r="M224" i="2"/>
  <c r="M241" i="2" s="1"/>
  <c r="L224" i="2"/>
  <c r="K224" i="2"/>
  <c r="K228" i="2" s="1"/>
  <c r="J224" i="2"/>
  <c r="I224" i="2"/>
  <c r="I241" i="2" s="1"/>
  <c r="H224" i="2"/>
  <c r="G224" i="2"/>
  <c r="F224" i="2"/>
  <c r="E224" i="2"/>
  <c r="D224" i="2"/>
  <c r="C224" i="2"/>
  <c r="AP217" i="2"/>
  <c r="AD217" i="2"/>
  <c r="Y217" i="2"/>
  <c r="Y218" i="2" s="1"/>
  <c r="Y316" i="2" s="1"/>
  <c r="AV215" i="2"/>
  <c r="AV16" i="5" s="1"/>
  <c r="AO215" i="2"/>
  <c r="AO16" i="5" s="1"/>
  <c r="AJ215" i="2"/>
  <c r="AJ16" i="5" s="1"/>
  <c r="AW214" i="2"/>
  <c r="AW215" i="2" s="1"/>
  <c r="AW16" i="5" s="1"/>
  <c r="AV214" i="2"/>
  <c r="AU214" i="2"/>
  <c r="AT214" i="2"/>
  <c r="AT215" i="2" s="1"/>
  <c r="AT16" i="5" s="1"/>
  <c r="AS214" i="2"/>
  <c r="AR214" i="2"/>
  <c r="AQ214" i="2"/>
  <c r="AQ215" i="2" s="1"/>
  <c r="AQ16" i="5" s="1"/>
  <c r="AP214" i="2"/>
  <c r="AP215" i="2" s="1"/>
  <c r="AP16" i="5" s="1"/>
  <c r="AO214" i="2"/>
  <c r="AM214" i="2"/>
  <c r="AM215" i="2" s="1"/>
  <c r="AM16" i="5" s="1"/>
  <c r="AL214" i="2"/>
  <c r="AK214" i="2"/>
  <c r="AK215" i="2" s="1"/>
  <c r="AK16" i="5" s="1"/>
  <c r="AJ214" i="2"/>
  <c r="AI214" i="2"/>
  <c r="AH214" i="2"/>
  <c r="AG214" i="2"/>
  <c r="AG215" i="2" s="1"/>
  <c r="AG16" i="5" s="1"/>
  <c r="AF214" i="2"/>
  <c r="AF215" i="2" s="1"/>
  <c r="AF16" i="5" s="1"/>
  <c r="AE214" i="2"/>
  <c r="AE215" i="2" s="1"/>
  <c r="AE16" i="5" s="1"/>
  <c r="AD214" i="2"/>
  <c r="AD215" i="2" s="1"/>
  <c r="AD16" i="5" s="1"/>
  <c r="AB214" i="2"/>
  <c r="AA214" i="2"/>
  <c r="Z214" i="2"/>
  <c r="Y214" i="2"/>
  <c r="AW212" i="2"/>
  <c r="AV212" i="2"/>
  <c r="AU212" i="2"/>
  <c r="AT212" i="2"/>
  <c r="AR212" i="2"/>
  <c r="AQ212" i="2"/>
  <c r="AP212" i="2"/>
  <c r="AO212" i="2"/>
  <c r="AM212" i="2"/>
  <c r="AL212" i="2"/>
  <c r="AK212" i="2"/>
  <c r="AS211" i="2"/>
  <c r="AS212" i="2" s="1"/>
  <c r="AN211" i="2"/>
  <c r="AI211" i="2"/>
  <c r="AV209" i="2"/>
  <c r="AT207" i="2"/>
  <c r="AU206" i="2"/>
  <c r="AT206" i="2"/>
  <c r="AT209" i="2" s="1"/>
  <c r="AP206" i="2"/>
  <c r="AI206" i="2"/>
  <c r="AA206" i="2"/>
  <c r="Z206" i="2"/>
  <c r="AW205" i="2"/>
  <c r="AV205" i="2"/>
  <c r="AV206" i="2" s="1"/>
  <c r="AU205" i="2"/>
  <c r="AT205" i="2"/>
  <c r="AS205" i="2"/>
  <c r="AS206" i="2" s="1"/>
  <c r="AR205" i="2"/>
  <c r="AS203" i="2" s="1"/>
  <c r="AQ205" i="2"/>
  <c r="AP205" i="2"/>
  <c r="AO205" i="2"/>
  <c r="AN205" i="2"/>
  <c r="AM205" i="2"/>
  <c r="AN203" i="2" s="1"/>
  <c r="AL205" i="2"/>
  <c r="AK205" i="2"/>
  <c r="AJ205" i="2"/>
  <c r="AJ206" i="2" s="1"/>
  <c r="AJ207" i="2" s="1"/>
  <c r="AI205" i="2"/>
  <c r="AH205" i="2"/>
  <c r="AG205" i="2"/>
  <c r="AH203" i="2" s="1"/>
  <c r="AF205" i="2"/>
  <c r="AG203" i="2" s="1"/>
  <c r="AE205" i="2"/>
  <c r="AE206" i="2" s="1"/>
  <c r="AE207" i="2" s="1"/>
  <c r="AD205" i="2"/>
  <c r="AC205" i="2"/>
  <c r="AB205" i="2"/>
  <c r="AA205" i="2"/>
  <c r="AB203" i="2" s="1"/>
  <c r="Z205" i="2"/>
  <c r="BD204" i="2"/>
  <c r="AU204" i="2"/>
  <c r="AM204" i="2"/>
  <c r="AI204" i="2"/>
  <c r="AD204" i="2"/>
  <c r="AY203" i="2"/>
  <c r="AV203" i="2"/>
  <c r="AU203" i="2"/>
  <c r="AT203" i="2"/>
  <c r="AR203" i="2"/>
  <c r="AQ203" i="2"/>
  <c r="AP203" i="2"/>
  <c r="AP204" i="2" s="1"/>
  <c r="AO203" i="2"/>
  <c r="AO206" i="2" s="1"/>
  <c r="AM203" i="2"/>
  <c r="AM206" i="2" s="1"/>
  <c r="AJ203" i="2"/>
  <c r="AI203" i="2"/>
  <c r="AF203" i="2"/>
  <c r="AE203" i="2"/>
  <c r="AD203" i="2"/>
  <c r="AD206" i="2" s="1"/>
  <c r="AA203" i="2"/>
  <c r="AA204" i="2" s="1"/>
  <c r="AW201" i="2"/>
  <c r="AV201" i="2"/>
  <c r="AU201" i="2"/>
  <c r="AT201" i="2"/>
  <c r="AR201" i="2"/>
  <c r="AQ201" i="2"/>
  <c r="AP201" i="2"/>
  <c r="AO201" i="2"/>
  <c r="AM201" i="2"/>
  <c r="AL201" i="2"/>
  <c r="AK201" i="2"/>
  <c r="BB200" i="2"/>
  <c r="BD200" i="2" s="1"/>
  <c r="BA200" i="2"/>
  <c r="AZ200" i="2"/>
  <c r="AY200" i="2"/>
  <c r="AY201" i="2" s="1"/>
  <c r="AX200" i="2"/>
  <c r="BC200" i="2" s="1"/>
  <c r="AS200" i="2"/>
  <c r="AN200" i="2"/>
  <c r="AN214" i="2" s="1"/>
  <c r="AN215" i="2" s="1"/>
  <c r="AN16" i="5" s="1"/>
  <c r="AI200" i="2"/>
  <c r="AW198" i="2"/>
  <c r="AV198" i="2"/>
  <c r="AU198" i="2"/>
  <c r="AS198" i="2"/>
  <c r="AR198" i="2"/>
  <c r="AQ198" i="2"/>
  <c r="AP198" i="2"/>
  <c r="AN198" i="2"/>
  <c r="AM198" i="2"/>
  <c r="AL198" i="2"/>
  <c r="AK198" i="2"/>
  <c r="AT197" i="2"/>
  <c r="AT198" i="2" s="1"/>
  <c r="AO197" i="2"/>
  <c r="AJ197" i="2"/>
  <c r="AJ198" i="2" s="1"/>
  <c r="AW196" i="2"/>
  <c r="AV196" i="2"/>
  <c r="AU196" i="2"/>
  <c r="AS196" i="2"/>
  <c r="AR196" i="2"/>
  <c r="AQ196" i="2"/>
  <c r="AP196" i="2"/>
  <c r="AN196" i="2"/>
  <c r="AM196" i="2"/>
  <c r="AL196" i="2"/>
  <c r="AK196" i="2"/>
  <c r="AS195" i="2"/>
  <c r="AO195" i="2"/>
  <c r="S191" i="2"/>
  <c r="S315" i="2" s="1"/>
  <c r="G191" i="2"/>
  <c r="G315" i="2" s="1"/>
  <c r="AO190" i="2"/>
  <c r="AC190" i="2"/>
  <c r="S190" i="2"/>
  <c r="Q190" i="2"/>
  <c r="G190" i="2"/>
  <c r="E190" i="2"/>
  <c r="E191" i="2" s="1"/>
  <c r="E315" i="2" s="1"/>
  <c r="AR188" i="2"/>
  <c r="AR15" i="5" s="1"/>
  <c r="T188" i="2"/>
  <c r="T15" i="5" s="1"/>
  <c r="AW187" i="2"/>
  <c r="AR187" i="2"/>
  <c r="AQ187" i="2"/>
  <c r="AN187" i="2"/>
  <c r="Y187" i="2"/>
  <c r="T187" i="2"/>
  <c r="S187" i="2"/>
  <c r="N187" i="2"/>
  <c r="M187" i="2"/>
  <c r="AW186" i="2"/>
  <c r="AW188" i="2" s="1"/>
  <c r="AW15" i="5" s="1"/>
  <c r="AV186" i="2"/>
  <c r="AV188" i="2" s="1"/>
  <c r="AV15" i="5" s="1"/>
  <c r="AT186" i="2"/>
  <c r="AS186" i="2"/>
  <c r="AR186" i="2"/>
  <c r="AQ186" i="2"/>
  <c r="AP186" i="2"/>
  <c r="AP188" i="2" s="1"/>
  <c r="AP15" i="5" s="1"/>
  <c r="AO186" i="2"/>
  <c r="AO188" i="2" s="1"/>
  <c r="AO15" i="5" s="1"/>
  <c r="AN186" i="2"/>
  <c r="AM186" i="2"/>
  <c r="AL186" i="2"/>
  <c r="AL187" i="2" s="1"/>
  <c r="AK186" i="2"/>
  <c r="AJ186" i="2"/>
  <c r="AJ188" i="2" s="1"/>
  <c r="AJ15" i="5" s="1"/>
  <c r="AH186" i="2"/>
  <c r="AG186" i="2"/>
  <c r="AF186" i="2"/>
  <c r="AF187" i="2" s="1"/>
  <c r="AE186" i="2"/>
  <c r="AD186" i="2"/>
  <c r="AD188" i="2" s="1"/>
  <c r="AD15" i="5" s="1"/>
  <c r="AC186" i="2"/>
  <c r="AC188" i="2" s="1"/>
  <c r="AC15" i="5" s="1"/>
  <c r="AB186" i="2"/>
  <c r="AB187" i="2" s="1"/>
  <c r="AA186" i="2"/>
  <c r="AA187" i="2" s="1"/>
  <c r="Z186" i="2"/>
  <c r="Z188" i="2" s="1"/>
  <c r="Z15" i="5" s="1"/>
  <c r="Y186" i="2"/>
  <c r="Y188" i="2" s="1"/>
  <c r="Y15" i="5" s="1"/>
  <c r="X186" i="2"/>
  <c r="X188" i="2" s="1"/>
  <c r="X15" i="5" s="1"/>
  <c r="V186" i="2"/>
  <c r="V185" i="2" s="1"/>
  <c r="U186" i="2"/>
  <c r="T186" i="2"/>
  <c r="S186" i="2"/>
  <c r="S188" i="2" s="1"/>
  <c r="S15" i="5" s="1"/>
  <c r="R186" i="2"/>
  <c r="R188" i="2" s="1"/>
  <c r="R15" i="5" s="1"/>
  <c r="Q186" i="2"/>
  <c r="P186" i="2"/>
  <c r="O186" i="2"/>
  <c r="O187" i="2" s="1"/>
  <c r="N186" i="2"/>
  <c r="N188" i="2" s="1"/>
  <c r="N15" i="5" s="1"/>
  <c r="M186" i="2"/>
  <c r="L186" i="2"/>
  <c r="L188" i="2" s="1"/>
  <c r="L15" i="5" s="1"/>
  <c r="J186" i="2"/>
  <c r="O188" i="2" s="1"/>
  <c r="O15" i="5" s="1"/>
  <c r="I186" i="2"/>
  <c r="I187" i="2" s="1"/>
  <c r="H186" i="2"/>
  <c r="H187" i="2" s="1"/>
  <c r="G186" i="2"/>
  <c r="F186" i="2"/>
  <c r="E186" i="2"/>
  <c r="D186" i="2"/>
  <c r="Z185" i="2"/>
  <c r="T185" i="2"/>
  <c r="Q185" i="2"/>
  <c r="N185" i="2"/>
  <c r="E185" i="2"/>
  <c r="AA183" i="2"/>
  <c r="V183" i="2"/>
  <c r="T183" i="2"/>
  <c r="O183" i="2"/>
  <c r="F183" i="2"/>
  <c r="X182" i="2"/>
  <c r="W182" i="2"/>
  <c r="Q182" i="2"/>
  <c r="O182" i="2"/>
  <c r="I182" i="2"/>
  <c r="AE181" i="2"/>
  <c r="AE185" i="2" s="1"/>
  <c r="AD181" i="2"/>
  <c r="AD185" i="2" s="1"/>
  <c r="AC181" i="2"/>
  <c r="AC183" i="2" s="1"/>
  <c r="AB181" i="2"/>
  <c r="AB183" i="2" s="1"/>
  <c r="AA181" i="2"/>
  <c r="AA185" i="2" s="1"/>
  <c r="Z181" i="2"/>
  <c r="Z183" i="2" s="1"/>
  <c r="Y181" i="2"/>
  <c r="Y185" i="2" s="1"/>
  <c r="X181" i="2"/>
  <c r="X185" i="2" s="1"/>
  <c r="W181" i="2"/>
  <c r="W183" i="2" s="1"/>
  <c r="V181" i="2"/>
  <c r="V182" i="2" s="1"/>
  <c r="U181" i="2"/>
  <c r="U183" i="2" s="1"/>
  <c r="T181" i="2"/>
  <c r="S181" i="2"/>
  <c r="S185" i="2" s="1"/>
  <c r="R181" i="2"/>
  <c r="R185" i="2" s="1"/>
  <c r="Q181" i="2"/>
  <c r="Q183" i="2" s="1"/>
  <c r="P181" i="2"/>
  <c r="P183" i="2" s="1"/>
  <c r="O181" i="2"/>
  <c r="O185" i="2" s="1"/>
  <c r="N181" i="2"/>
  <c r="N183" i="2" s="1"/>
  <c r="M181" i="2"/>
  <c r="M183" i="2" s="1"/>
  <c r="L181" i="2"/>
  <c r="L185" i="2" s="1"/>
  <c r="K181" i="2"/>
  <c r="K183" i="2" s="1"/>
  <c r="J181" i="2"/>
  <c r="J182" i="2" s="1"/>
  <c r="I181" i="2"/>
  <c r="H181" i="2"/>
  <c r="G181" i="2"/>
  <c r="G185" i="2" s="1"/>
  <c r="F181" i="2"/>
  <c r="F185" i="2" s="1"/>
  <c r="E181" i="2"/>
  <c r="E183" i="2" s="1"/>
  <c r="D181" i="2"/>
  <c r="D185" i="2" s="1"/>
  <c r="C181" i="2"/>
  <c r="AW175" i="2"/>
  <c r="AV175" i="2"/>
  <c r="AV176" i="2" s="1"/>
  <c r="AV177" i="2" s="1"/>
  <c r="AU175" i="2"/>
  <c r="AT175" i="2"/>
  <c r="AS175" i="2"/>
  <c r="AR175" i="2"/>
  <c r="AQ175" i="2"/>
  <c r="AP175" i="2"/>
  <c r="AO175" i="2"/>
  <c r="AO176" i="2" s="1"/>
  <c r="AO177" i="2" s="1"/>
  <c r="AN175" i="2"/>
  <c r="AM175" i="2"/>
  <c r="AL175" i="2"/>
  <c r="AK175" i="2"/>
  <c r="AJ175" i="2"/>
  <c r="AJ176" i="2" s="1"/>
  <c r="AJ177" i="2" s="1"/>
  <c r="AI175" i="2"/>
  <c r="AH175" i="2"/>
  <c r="AG175" i="2"/>
  <c r="AF175" i="2"/>
  <c r="AE175" i="2"/>
  <c r="AD175" i="2"/>
  <c r="AC175" i="2"/>
  <c r="AC176" i="2" s="1"/>
  <c r="AC177" i="2" s="1"/>
  <c r="AB175" i="2"/>
  <c r="AA175" i="2"/>
  <c r="Z175" i="2"/>
  <c r="Y175" i="2"/>
  <c r="X175" i="2"/>
  <c r="X176" i="2" s="1"/>
  <c r="X177" i="2" s="1"/>
  <c r="X314" i="2" s="1"/>
  <c r="AV174" i="2"/>
  <c r="AT174" i="2"/>
  <c r="AW173" i="2"/>
  <c r="AW174" i="2" s="1"/>
  <c r="AV173" i="2"/>
  <c r="AU173" i="2"/>
  <c r="AT173" i="2"/>
  <c r="AS173" i="2"/>
  <c r="AR173" i="2"/>
  <c r="AQ173" i="2"/>
  <c r="AQ174" i="2" s="1"/>
  <c r="AP173" i="2"/>
  <c r="AP174" i="2" s="1"/>
  <c r="AW169" i="2"/>
  <c r="AW14" i="5" s="1"/>
  <c r="AV169" i="2"/>
  <c r="AV14" i="5" s="1"/>
  <c r="AQ169" i="2"/>
  <c r="AQ14" i="5" s="1"/>
  <c r="AK169" i="2"/>
  <c r="AK14" i="5" s="1"/>
  <c r="AJ169" i="2"/>
  <c r="AJ14" i="5" s="1"/>
  <c r="AE169" i="2"/>
  <c r="AE14" i="5" s="1"/>
  <c r="AR168" i="2"/>
  <c r="AK168" i="2"/>
  <c r="AW167" i="2"/>
  <c r="AW176" i="2" s="1"/>
  <c r="AW177" i="2" s="1"/>
  <c r="AV167" i="2"/>
  <c r="AV157" i="2" s="1"/>
  <c r="AU167" i="2"/>
  <c r="AU169" i="2" s="1"/>
  <c r="AU14" i="5" s="1"/>
  <c r="AS167" i="2"/>
  <c r="AR167" i="2"/>
  <c r="AR157" i="2" s="1"/>
  <c r="AQ167" i="2"/>
  <c r="AQ176" i="2" s="1"/>
  <c r="AQ177" i="2" s="1"/>
  <c r="AP167" i="2"/>
  <c r="AP168" i="2" s="1"/>
  <c r="AO167" i="2"/>
  <c r="AO169" i="2" s="1"/>
  <c r="AO14" i="5" s="1"/>
  <c r="AM167" i="2"/>
  <c r="AL167" i="2"/>
  <c r="AL169" i="2" s="1"/>
  <c r="AL14" i="5" s="1"/>
  <c r="AK167" i="2"/>
  <c r="AK176" i="2" s="1"/>
  <c r="AK177" i="2" s="1"/>
  <c r="AJ167" i="2"/>
  <c r="AI167" i="2"/>
  <c r="AG167" i="2"/>
  <c r="AG168" i="2" s="1"/>
  <c r="AF167" i="2"/>
  <c r="AF168" i="2" s="1"/>
  <c r="AE167" i="2"/>
  <c r="AE176" i="2" s="1"/>
  <c r="AE177" i="2" s="1"/>
  <c r="AD167" i="2"/>
  <c r="AD176" i="2" s="1"/>
  <c r="AD177" i="2" s="1"/>
  <c r="AC167" i="2"/>
  <c r="AC169" i="2" s="1"/>
  <c r="AC14" i="5" s="1"/>
  <c r="AA167" i="2"/>
  <c r="AA168" i="2" s="1"/>
  <c r="Z167" i="2"/>
  <c r="Z176" i="2" s="1"/>
  <c r="Z177" i="2" s="1"/>
  <c r="Z314" i="2" s="1"/>
  <c r="Y167" i="2"/>
  <c r="Y176" i="2" s="1"/>
  <c r="Y177" i="2" s="1"/>
  <c r="Y314" i="2" s="1"/>
  <c r="X167" i="2"/>
  <c r="Y168" i="2" s="1"/>
  <c r="AW163" i="2"/>
  <c r="AW162" i="2"/>
  <c r="AV162" i="2"/>
  <c r="AU162" i="2"/>
  <c r="AU160" i="2" s="1"/>
  <c r="AU163" i="2" s="1"/>
  <c r="AT162" i="2"/>
  <c r="AT160" i="2" s="1"/>
  <c r="AS162" i="2"/>
  <c r="AR162" i="2"/>
  <c r="AR160" i="2" s="1"/>
  <c r="AR163" i="2" s="1"/>
  <c r="AQ162" i="2"/>
  <c r="AQ160" i="2" s="1"/>
  <c r="AP162" i="2"/>
  <c r="AO162" i="2"/>
  <c r="AO160" i="2" s="1"/>
  <c r="AO163" i="2" s="1"/>
  <c r="AN162" i="2"/>
  <c r="AM162" i="2"/>
  <c r="AL162" i="2"/>
  <c r="AK162" i="2"/>
  <c r="AJ162" i="2"/>
  <c r="AI162" i="2"/>
  <c r="AH162" i="2"/>
  <c r="AG162" i="2"/>
  <c r="AF162" i="2"/>
  <c r="AE162" i="2"/>
  <c r="AD162" i="2"/>
  <c r="AC162" i="2"/>
  <c r="AB162" i="2"/>
  <c r="AA162" i="2"/>
  <c r="Z162" i="2"/>
  <c r="Y162" i="2"/>
  <c r="X162" i="2"/>
  <c r="W162" i="2"/>
  <c r="V162" i="2"/>
  <c r="U162" i="2"/>
  <c r="T162" i="2"/>
  <c r="S162" i="2"/>
  <c r="R162" i="2"/>
  <c r="Q162" i="2"/>
  <c r="P162" i="2"/>
  <c r="O162" i="2"/>
  <c r="N162" i="2"/>
  <c r="M162" i="2"/>
  <c r="L162" i="2"/>
  <c r="K162" i="2"/>
  <c r="J162" i="2"/>
  <c r="I162" i="2"/>
  <c r="H162" i="2"/>
  <c r="G162" i="2"/>
  <c r="F162" i="2"/>
  <c r="E162" i="2"/>
  <c r="D162" i="2"/>
  <c r="C162" i="2"/>
  <c r="AW160" i="2"/>
  <c r="AV160" i="2"/>
  <c r="AV163" i="2" s="1"/>
  <c r="AS160" i="2"/>
  <c r="AS163" i="2" s="1"/>
  <c r="AP160" i="2"/>
  <c r="AP163" i="2" s="1"/>
  <c r="AR154" i="2"/>
  <c r="AQ154" i="2"/>
  <c r="AQ157" i="2" s="1"/>
  <c r="AL154" i="2"/>
  <c r="AW153" i="2"/>
  <c r="AV153" i="2"/>
  <c r="AU153" i="2"/>
  <c r="AT153" i="2"/>
  <c r="AR153" i="2"/>
  <c r="AQ153" i="2"/>
  <c r="AW152" i="2"/>
  <c r="AV152" i="2"/>
  <c r="AR152" i="2"/>
  <c r="AQ152" i="2"/>
  <c r="AN152" i="2"/>
  <c r="AM152" i="2"/>
  <c r="AS151" i="2"/>
  <c r="AU152" i="2" s="1"/>
  <c r="AN151" i="2"/>
  <c r="AP152" i="2" s="1"/>
  <c r="AW150" i="2"/>
  <c r="AV150" i="2"/>
  <c r="AU150" i="2"/>
  <c r="AS150" i="2"/>
  <c r="AR150" i="2"/>
  <c r="AQ150" i="2"/>
  <c r="AP150" i="2"/>
  <c r="AM150" i="2"/>
  <c r="AV149" i="2"/>
  <c r="AS149" i="2"/>
  <c r="AY148" i="2"/>
  <c r="AX148" i="2"/>
  <c r="AW148" i="2"/>
  <c r="AW154" i="2" s="1"/>
  <c r="AW157" i="2" s="1"/>
  <c r="AV148" i="2"/>
  <c r="AV154" i="2" s="1"/>
  <c r="AU148" i="2"/>
  <c r="AU154" i="2" s="1"/>
  <c r="AT148" i="2"/>
  <c r="AS148" i="2"/>
  <c r="AR148" i="2"/>
  <c r="AR149" i="2" s="1"/>
  <c r="AQ148" i="2"/>
  <c r="AQ149" i="2" s="1"/>
  <c r="AP148" i="2"/>
  <c r="AP154" i="2" s="1"/>
  <c r="AN148" i="2"/>
  <c r="AN154" i="2" s="1"/>
  <c r="AM148" i="2"/>
  <c r="AM154" i="2" s="1"/>
  <c r="AN145" i="2"/>
  <c r="AL145" i="2"/>
  <c r="AN144" i="2"/>
  <c r="AH144" i="2"/>
  <c r="AG144" i="2"/>
  <c r="AT142" i="2"/>
  <c r="AT150" i="2" s="1"/>
  <c r="AP142" i="2"/>
  <c r="AN142" i="2"/>
  <c r="AN150" i="2" s="1"/>
  <c r="AM142" i="2"/>
  <c r="AM146" i="2" s="1"/>
  <c r="AL142" i="2"/>
  <c r="AL146" i="2" s="1"/>
  <c r="AK142" i="2"/>
  <c r="AI142" i="2"/>
  <c r="AI146" i="2" s="1"/>
  <c r="AH142" i="2"/>
  <c r="AH146" i="2" s="1"/>
  <c r="AG142" i="2"/>
  <c r="AX141" i="2"/>
  <c r="AO141" i="2"/>
  <c r="AV140" i="2"/>
  <c r="AV141" i="2" s="1"/>
  <c r="AV145" i="2" s="1"/>
  <c r="AU140" i="2"/>
  <c r="AU141" i="2" s="1"/>
  <c r="AR140" i="2"/>
  <c r="AR141" i="2" s="1"/>
  <c r="AR145" i="2" s="1"/>
  <c r="AO140" i="2"/>
  <c r="AO142" i="2" s="1"/>
  <c r="AX138" i="2"/>
  <c r="AU138" i="2"/>
  <c r="AU146" i="2" s="1"/>
  <c r="AR138" i="2"/>
  <c r="AR146" i="2" s="1"/>
  <c r="AN138" i="2"/>
  <c r="AN146" i="2" s="1"/>
  <c r="AL138" i="2"/>
  <c r="AI138" i="2"/>
  <c r="AF138" i="2"/>
  <c r="T138" i="2"/>
  <c r="P138" i="2"/>
  <c r="N138" i="2"/>
  <c r="K138" i="2"/>
  <c r="H138" i="2"/>
  <c r="BE137" i="2"/>
  <c r="BD137" i="2"/>
  <c r="BC137" i="2"/>
  <c r="BB137" i="2"/>
  <c r="BA137" i="2"/>
  <c r="AZ137" i="2"/>
  <c r="AX136" i="2"/>
  <c r="AW136" i="2"/>
  <c r="AV136" i="2"/>
  <c r="AU136" i="2"/>
  <c r="AS136" i="2"/>
  <c r="AR136" i="2"/>
  <c r="AQ136" i="2"/>
  <c r="AP136" i="2"/>
  <c r="AP145" i="2" s="1"/>
  <c r="AN136" i="2"/>
  <c r="AM136" i="2"/>
  <c r="AM145" i="2" s="1"/>
  <c r="AL136" i="2"/>
  <c r="AK136" i="2"/>
  <c r="AJ136" i="2"/>
  <c r="AI136" i="2"/>
  <c r="AH136" i="2"/>
  <c r="AG136" i="2"/>
  <c r="AF136" i="2"/>
  <c r="AD136" i="2"/>
  <c r="AC136" i="2"/>
  <c r="AX135" i="2"/>
  <c r="AX140" i="2" s="1"/>
  <c r="AX142" i="2" s="1"/>
  <c r="AW135" i="2"/>
  <c r="AW138" i="2" s="1"/>
  <c r="AW146" i="2" s="1"/>
  <c r="AV135" i="2"/>
  <c r="AV138" i="2" s="1"/>
  <c r="AV146" i="2" s="1"/>
  <c r="AU135" i="2"/>
  <c r="AS135" i="2"/>
  <c r="AS140" i="2" s="1"/>
  <c r="AS141" i="2" s="1"/>
  <c r="AS145" i="2" s="1"/>
  <c r="AR135" i="2"/>
  <c r="AQ135" i="2"/>
  <c r="AQ140" i="2" s="1"/>
  <c r="AP135" i="2"/>
  <c r="AP138" i="2" s="1"/>
  <c r="AP146" i="2" s="1"/>
  <c r="AN135" i="2"/>
  <c r="AM135" i="2"/>
  <c r="AM138" i="2" s="1"/>
  <c r="AL135" i="2"/>
  <c r="AL144" i="2" s="1"/>
  <c r="AK135" i="2"/>
  <c r="AK144" i="2" s="1"/>
  <c r="AI135" i="2"/>
  <c r="AI144" i="2" s="1"/>
  <c r="AH135" i="2"/>
  <c r="AH138" i="2" s="1"/>
  <c r="AG135" i="2"/>
  <c r="AG138" i="2" s="1"/>
  <c r="AG146" i="2" s="1"/>
  <c r="AF135" i="2"/>
  <c r="AD135" i="2"/>
  <c r="AD138" i="2" s="1"/>
  <c r="AC135" i="2"/>
  <c r="AC138" i="2" s="1"/>
  <c r="Y135" i="2"/>
  <c r="Y138" i="2" s="1"/>
  <c r="U135" i="2"/>
  <c r="U138" i="2" s="1"/>
  <c r="T135" i="2"/>
  <c r="S135" i="2"/>
  <c r="S138" i="2" s="1"/>
  <c r="R135" i="2"/>
  <c r="R138" i="2" s="1"/>
  <c r="Q135" i="2"/>
  <c r="Q138" i="2" s="1"/>
  <c r="P135" i="2"/>
  <c r="O135" i="2"/>
  <c r="O138" i="2" s="1"/>
  <c r="N135" i="2"/>
  <c r="M135" i="2"/>
  <c r="M138" i="2" s="1"/>
  <c r="L135" i="2"/>
  <c r="L138" i="2" s="1"/>
  <c r="K135" i="2"/>
  <c r="J135" i="2"/>
  <c r="J138" i="2" s="1"/>
  <c r="I135" i="2"/>
  <c r="I138" i="2" s="1"/>
  <c r="H135" i="2"/>
  <c r="G135" i="2"/>
  <c r="G138" i="2" s="1"/>
  <c r="F135" i="2"/>
  <c r="F134" i="2"/>
  <c r="F138" i="2" s="1"/>
  <c r="D134" i="2"/>
  <c r="D138" i="2" s="1"/>
  <c r="N131" i="2"/>
  <c r="T130" i="2"/>
  <c r="T313" i="2" s="1"/>
  <c r="H130" i="2"/>
  <c r="H313" i="2" s="1"/>
  <c r="AW129" i="2"/>
  <c r="AS129" i="2"/>
  <c r="AR129" i="2"/>
  <c r="AL129" i="2"/>
  <c r="AK129" i="2"/>
  <c r="AI129" i="2"/>
  <c r="AG129" i="2"/>
  <c r="AF129" i="2"/>
  <c r="Z129" i="2"/>
  <c r="Z130" i="2" s="1"/>
  <c r="Z313" i="2" s="1"/>
  <c r="Y129" i="2"/>
  <c r="W129" i="2"/>
  <c r="U129" i="2"/>
  <c r="U130" i="2" s="1"/>
  <c r="T129" i="2"/>
  <c r="N129" i="2"/>
  <c r="N130" i="2" s="1"/>
  <c r="N313" i="2" s="1"/>
  <c r="M129" i="2"/>
  <c r="K129" i="2"/>
  <c r="I129" i="2"/>
  <c r="I130" i="2" s="1"/>
  <c r="I313" i="2" s="1"/>
  <c r="H129" i="2"/>
  <c r="X127" i="2"/>
  <c r="X13" i="5" s="1"/>
  <c r="X126" i="2"/>
  <c r="W126" i="2"/>
  <c r="Q126" i="2"/>
  <c r="O126" i="2"/>
  <c r="I126" i="2"/>
  <c r="AW125" i="2"/>
  <c r="AQ125" i="2"/>
  <c r="AK125" i="2"/>
  <c r="AE125" i="2"/>
  <c r="AD125" i="2"/>
  <c r="AD126" i="2" s="1"/>
  <c r="AC125" i="2"/>
  <c r="AC126" i="2" s="1"/>
  <c r="AB125" i="2"/>
  <c r="AB127" i="2" s="1"/>
  <c r="AB13" i="5" s="1"/>
  <c r="AA125" i="2"/>
  <c r="AA127" i="2" s="1"/>
  <c r="AA13" i="5" s="1"/>
  <c r="Z125" i="2"/>
  <c r="Y125" i="2"/>
  <c r="AD127" i="2" s="1"/>
  <c r="AD13" i="5" s="1"/>
  <c r="X125" i="2"/>
  <c r="AC127" i="2" s="1"/>
  <c r="AC13" i="5" s="1"/>
  <c r="W125" i="2"/>
  <c r="W130" i="2" s="1"/>
  <c r="V125" i="2"/>
  <c r="V126" i="2" s="1"/>
  <c r="U125" i="2"/>
  <c r="U113" i="2" s="1"/>
  <c r="T125" i="2"/>
  <c r="T126" i="2" s="1"/>
  <c r="S125" i="2"/>
  <c r="R125" i="2"/>
  <c r="R126" i="2" s="1"/>
  <c r="Q125" i="2"/>
  <c r="P125" i="2"/>
  <c r="P127" i="2" s="1"/>
  <c r="P13" i="5" s="1"/>
  <c r="O125" i="2"/>
  <c r="O127" i="2" s="1"/>
  <c r="O13" i="5" s="1"/>
  <c r="N125" i="2"/>
  <c r="M125" i="2"/>
  <c r="R127" i="2" s="1"/>
  <c r="R13" i="5" s="1"/>
  <c r="L125" i="2"/>
  <c r="L126" i="2" s="1"/>
  <c r="K125" i="2"/>
  <c r="K130" i="2" s="1"/>
  <c r="J125" i="2"/>
  <c r="J126" i="2" s="1"/>
  <c r="I125" i="2"/>
  <c r="I113" i="2" s="1"/>
  <c r="H125" i="2"/>
  <c r="G125" i="2"/>
  <c r="F125" i="2"/>
  <c r="K127" i="2" s="1"/>
  <c r="K13" i="5" s="1"/>
  <c r="E125" i="2"/>
  <c r="D125" i="2"/>
  <c r="E127" i="2" s="1"/>
  <c r="E13" i="5" s="1"/>
  <c r="C125" i="2"/>
  <c r="AW124" i="2"/>
  <c r="AV124" i="2"/>
  <c r="AU124" i="2"/>
  <c r="AT124" i="2"/>
  <c r="AR124" i="2"/>
  <c r="AQ124" i="2"/>
  <c r="AP124" i="2"/>
  <c r="AO124" i="2"/>
  <c r="AN124" i="2"/>
  <c r="AM124" i="2"/>
  <c r="AL124" i="2"/>
  <c r="AK124" i="2"/>
  <c r="AS123" i="2"/>
  <c r="AN123" i="2"/>
  <c r="AI123" i="2"/>
  <c r="AW122" i="2"/>
  <c r="AT122" i="2"/>
  <c r="AP122" i="2"/>
  <c r="AK122" i="2"/>
  <c r="AW121" i="2"/>
  <c r="AV121" i="2"/>
  <c r="AV122" i="2" s="1"/>
  <c r="AU121" i="2"/>
  <c r="AU125" i="2" s="1"/>
  <c r="AT121" i="2"/>
  <c r="AT125" i="2" s="1"/>
  <c r="AS121" i="2"/>
  <c r="AR121" i="2"/>
  <c r="AR122" i="2" s="1"/>
  <c r="AQ121" i="2"/>
  <c r="AQ122" i="2" s="1"/>
  <c r="AP121" i="2"/>
  <c r="AP125" i="2" s="1"/>
  <c r="AO121" i="2"/>
  <c r="AO122" i="2" s="1"/>
  <c r="AM121" i="2"/>
  <c r="AL121" i="2"/>
  <c r="AK121" i="2"/>
  <c r="AJ121" i="2"/>
  <c r="AJ117" i="2" s="1"/>
  <c r="AH121" i="2"/>
  <c r="AH125" i="2" s="1"/>
  <c r="AG121" i="2"/>
  <c r="AF121" i="2"/>
  <c r="AF117" i="2" s="1"/>
  <c r="AS120" i="2"/>
  <c r="AN120" i="2"/>
  <c r="AI120" i="2"/>
  <c r="AS119" i="2"/>
  <c r="AN119" i="2"/>
  <c r="AN121" i="2" s="1"/>
  <c r="AI119" i="2"/>
  <c r="AI121" i="2" s="1"/>
  <c r="AI117" i="2" s="1"/>
  <c r="AW117" i="2"/>
  <c r="AU117" i="2"/>
  <c r="AT117" i="2"/>
  <c r="AQ117" i="2"/>
  <c r="AP117" i="2"/>
  <c r="AO117" i="2"/>
  <c r="AL117" i="2"/>
  <c r="AK117" i="2"/>
  <c r="AH117" i="2"/>
  <c r="AJ115" i="2"/>
  <c r="AI115" i="2"/>
  <c r="AH115" i="2"/>
  <c r="AG115" i="2"/>
  <c r="AF115" i="2"/>
  <c r="AF114" i="2"/>
  <c r="BB113" i="2"/>
  <c r="AD113" i="2"/>
  <c r="R113" i="2"/>
  <c r="O113" i="2"/>
  <c r="O27" i="5" s="1"/>
  <c r="L113" i="2"/>
  <c r="F113" i="2"/>
  <c r="AW109" i="2"/>
  <c r="AW113" i="2" s="1"/>
  <c r="AS109" i="2"/>
  <c r="AQ109" i="2"/>
  <c r="AK109" i="2"/>
  <c r="AG109" i="2"/>
  <c r="Q107" i="2"/>
  <c r="AW105" i="2"/>
  <c r="AP105" i="2"/>
  <c r="AN105" i="2"/>
  <c r="AK105" i="2"/>
  <c r="AH105" i="2"/>
  <c r="AD105" i="2"/>
  <c r="AW104" i="2"/>
  <c r="AW107" i="2" s="1"/>
  <c r="AK104" i="2"/>
  <c r="AK107" i="2" s="1"/>
  <c r="AC104" i="2"/>
  <c r="S104" i="2"/>
  <c r="S107" i="2" s="1"/>
  <c r="Q104" i="2"/>
  <c r="G104" i="2"/>
  <c r="G107" i="2" s="1"/>
  <c r="F103" i="2"/>
  <c r="AR101" i="2"/>
  <c r="AN101" i="2"/>
  <c r="AB101" i="2"/>
  <c r="AQ100" i="2"/>
  <c r="AN100" i="2"/>
  <c r="R100" i="2"/>
  <c r="M100" i="2"/>
  <c r="J100" i="2"/>
  <c r="AX99" i="2"/>
  <c r="AW99" i="2"/>
  <c r="AW26" i="5" s="1"/>
  <c r="AV99" i="2"/>
  <c r="AV26" i="5" s="1"/>
  <c r="AU99" i="2"/>
  <c r="AU70" i="2" s="1"/>
  <c r="AS99" i="2"/>
  <c r="AS26" i="5" s="1"/>
  <c r="AR99" i="2"/>
  <c r="AQ99" i="2"/>
  <c r="AQ26" i="5" s="1"/>
  <c r="AP99" i="2"/>
  <c r="AP26" i="5" s="1"/>
  <c r="AN99" i="2"/>
  <c r="AM99" i="2"/>
  <c r="AM26" i="5" s="1"/>
  <c r="AL99" i="2"/>
  <c r="AL101" i="2" s="1"/>
  <c r="AK99" i="2"/>
  <c r="AK26" i="5" s="1"/>
  <c r="AI99" i="2"/>
  <c r="AI104" i="2" s="1"/>
  <c r="AH99" i="2"/>
  <c r="AH26" i="5" s="1"/>
  <c r="AG99" i="2"/>
  <c r="AG26" i="5" s="1"/>
  <c r="AF99" i="2"/>
  <c r="AF70" i="2" s="1"/>
  <c r="AD99" i="2"/>
  <c r="AD26" i="5" s="1"/>
  <c r="AC99" i="2"/>
  <c r="AC26" i="5" s="1"/>
  <c r="AB99" i="2"/>
  <c r="AB26" i="5" s="1"/>
  <c r="W99" i="2"/>
  <c r="U99" i="2"/>
  <c r="U26" i="5" s="1"/>
  <c r="T99" i="2"/>
  <c r="S99" i="2"/>
  <c r="S26" i="5" s="1"/>
  <c r="R99" i="2"/>
  <c r="R26" i="5" s="1"/>
  <c r="Q99" i="2"/>
  <c r="Q26" i="5" s="1"/>
  <c r="P99" i="2"/>
  <c r="O99" i="2"/>
  <c r="O26" i="5" s="1"/>
  <c r="N99" i="2"/>
  <c r="M99" i="2"/>
  <c r="M26" i="5" s="1"/>
  <c r="L99" i="2"/>
  <c r="L26" i="5" s="1"/>
  <c r="K99" i="2"/>
  <c r="J99" i="2"/>
  <c r="J26" i="5" s="1"/>
  <c r="I99" i="2"/>
  <c r="I26" i="5" s="1"/>
  <c r="H99" i="2"/>
  <c r="G99" i="2"/>
  <c r="G26" i="5" s="1"/>
  <c r="F99" i="2"/>
  <c r="F26" i="5" s="1"/>
  <c r="D99" i="2"/>
  <c r="BF96" i="2"/>
  <c r="AY95" i="2"/>
  <c r="AX95" i="2"/>
  <c r="AW95" i="2"/>
  <c r="AV95" i="2"/>
  <c r="AU95" i="2"/>
  <c r="AS95" i="2"/>
  <c r="AR95" i="2"/>
  <c r="AQ95" i="2"/>
  <c r="AP95" i="2"/>
  <c r="AN95" i="2"/>
  <c r="AM95" i="2"/>
  <c r="AL95" i="2"/>
  <c r="AK95" i="2"/>
  <c r="AI95" i="2"/>
  <c r="AH95" i="2"/>
  <c r="AX94" i="2"/>
  <c r="AW94" i="2"/>
  <c r="AV94" i="2"/>
  <c r="AU94" i="2"/>
  <c r="AS94" i="2"/>
  <c r="AR94" i="2"/>
  <c r="AQ94" i="2"/>
  <c r="AP94" i="2"/>
  <c r="AN94" i="2"/>
  <c r="AM94" i="2"/>
  <c r="AL94" i="2"/>
  <c r="AK94" i="2"/>
  <c r="AI94" i="2"/>
  <c r="AH94" i="2"/>
  <c r="AG94" i="2"/>
  <c r="AF94" i="2"/>
  <c r="AD94" i="2"/>
  <c r="AZ93" i="2"/>
  <c r="AY93" i="2"/>
  <c r="AT93" i="2"/>
  <c r="AT136" i="2" s="1"/>
  <c r="AO93" i="2"/>
  <c r="AJ93" i="2"/>
  <c r="AJ95" i="2" s="1"/>
  <c r="AE93" i="2"/>
  <c r="AZ92" i="2"/>
  <c r="AX92" i="2"/>
  <c r="AW92" i="2"/>
  <c r="AV92" i="2"/>
  <c r="AU92" i="2"/>
  <c r="AS92" i="2"/>
  <c r="AR92" i="2"/>
  <c r="AQ92" i="2"/>
  <c r="AP92" i="2"/>
  <c r="AN92" i="2"/>
  <c r="AM92" i="2"/>
  <c r="AL92" i="2"/>
  <c r="AK92" i="2"/>
  <c r="AI92" i="2"/>
  <c r="AH92" i="2"/>
  <c r="AF92" i="2"/>
  <c r="AB92" i="2"/>
  <c r="W92" i="2"/>
  <c r="U92" i="2"/>
  <c r="T92" i="2"/>
  <c r="S92" i="2"/>
  <c r="R92" i="2"/>
  <c r="Q92" i="2"/>
  <c r="P92" i="2"/>
  <c r="O92" i="2"/>
  <c r="N92" i="2"/>
  <c r="M92" i="2"/>
  <c r="L92" i="2"/>
  <c r="K92" i="2"/>
  <c r="AX91" i="2"/>
  <c r="AW91" i="2"/>
  <c r="AV91" i="2"/>
  <c r="AU91" i="2"/>
  <c r="AS91" i="2"/>
  <c r="AR91" i="2"/>
  <c r="AQ91" i="2"/>
  <c r="AP91" i="2"/>
  <c r="AN91" i="2"/>
  <c r="AM91" i="2"/>
  <c r="AL91" i="2"/>
  <c r="AK91" i="2"/>
  <c r="AI91" i="2"/>
  <c r="AH91" i="2"/>
  <c r="AG91" i="2"/>
  <c r="AF91" i="2"/>
  <c r="AD91" i="2"/>
  <c r="AB91" i="2"/>
  <c r="Y91" i="2"/>
  <c r="T91" i="2"/>
  <c r="S91" i="2"/>
  <c r="R91" i="2"/>
  <c r="Q91" i="2"/>
  <c r="O91" i="2"/>
  <c r="N91" i="2"/>
  <c r="M91" i="2"/>
  <c r="L91" i="2"/>
  <c r="J91" i="2"/>
  <c r="I91" i="2"/>
  <c r="H91" i="2"/>
  <c r="AZ90" i="2"/>
  <c r="AY90" i="2"/>
  <c r="AT90" i="2"/>
  <c r="AO90" i="2"/>
  <c r="AO135" i="2" s="1"/>
  <c r="AJ90" i="2"/>
  <c r="AE90" i="2"/>
  <c r="AB90" i="2"/>
  <c r="AB135" i="2" s="1"/>
  <c r="AB138" i="2" s="1"/>
  <c r="AA90" i="2"/>
  <c r="AA135" i="2" s="1"/>
  <c r="AA138" i="2" s="1"/>
  <c r="Y90" i="2"/>
  <c r="AD92" i="2" s="1"/>
  <c r="X90" i="2"/>
  <c r="AC92" i="2" s="1"/>
  <c r="W90" i="2"/>
  <c r="W135" i="2" s="1"/>
  <c r="W138" i="2" s="1"/>
  <c r="V90" i="2"/>
  <c r="Z89" i="2"/>
  <c r="Z88" i="2"/>
  <c r="Z90" i="2" s="1"/>
  <c r="F87" i="2"/>
  <c r="E87" i="2"/>
  <c r="E134" i="2" s="1"/>
  <c r="E138" i="2" s="1"/>
  <c r="AT85" i="2"/>
  <c r="AO85" i="2"/>
  <c r="AJ85" i="2"/>
  <c r="AX81" i="2"/>
  <c r="AW81" i="2"/>
  <c r="AV81" i="2"/>
  <c r="AU81" i="2"/>
  <c r="AR81" i="2"/>
  <c r="AQ81" i="2"/>
  <c r="AP81" i="2"/>
  <c r="AM81" i="2"/>
  <c r="AX80" i="2"/>
  <c r="AW80" i="2"/>
  <c r="AV80" i="2"/>
  <c r="AU80" i="2"/>
  <c r="AR80" i="2"/>
  <c r="AQ80" i="2"/>
  <c r="AP80" i="2"/>
  <c r="AM80" i="2"/>
  <c r="BG78" i="2"/>
  <c r="BF78" i="2"/>
  <c r="BE78" i="2"/>
  <c r="BC78" i="2"/>
  <c r="BB78" i="2"/>
  <c r="BA78" i="2"/>
  <c r="AZ78" i="2"/>
  <c r="AX78" i="2"/>
  <c r="AW78" i="2"/>
  <c r="AV78" i="2"/>
  <c r="AU78" i="2"/>
  <c r="AT78" i="2"/>
  <c r="AR78" i="2"/>
  <c r="AQ78" i="2"/>
  <c r="AP78" i="2"/>
  <c r="AO78" i="2"/>
  <c r="AN78" i="2"/>
  <c r="AM78" i="2"/>
  <c r="BD76" i="2"/>
  <c r="BD75" i="2"/>
  <c r="BD74" i="2"/>
  <c r="AY74" i="2"/>
  <c r="AS74" i="2"/>
  <c r="AN74" i="2"/>
  <c r="BD73" i="2"/>
  <c r="AY73" i="2"/>
  <c r="AS73" i="2"/>
  <c r="AS81" i="2" s="1"/>
  <c r="AN73" i="2"/>
  <c r="AN81" i="2" s="1"/>
  <c r="BD72" i="2"/>
  <c r="BD78" i="2" s="1"/>
  <c r="AY72" i="2"/>
  <c r="AY78" i="2" s="1"/>
  <c r="AS72" i="2"/>
  <c r="AN72" i="2"/>
  <c r="AN80" i="2" s="1"/>
  <c r="AV70" i="2"/>
  <c r="AH70" i="2"/>
  <c r="AC70" i="2"/>
  <c r="W70" i="2"/>
  <c r="T70" i="2"/>
  <c r="AX68" i="2"/>
  <c r="AW68" i="2"/>
  <c r="AV68" i="2"/>
  <c r="AU68" i="2"/>
  <c r="AS68" i="2"/>
  <c r="AR68" i="2"/>
  <c r="AQ68" i="2"/>
  <c r="AP68" i="2"/>
  <c r="AN68" i="2"/>
  <c r="AM68" i="2"/>
  <c r="AL68" i="2"/>
  <c r="AK68" i="2"/>
  <c r="AI68" i="2"/>
  <c r="AH68" i="2"/>
  <c r="AG68" i="2"/>
  <c r="AF68" i="2"/>
  <c r="AE68" i="2"/>
  <c r="AD68" i="2"/>
  <c r="AC68" i="2"/>
  <c r="AB68" i="2"/>
  <c r="AA68" i="2"/>
  <c r="Z68" i="2"/>
  <c r="Y68" i="2"/>
  <c r="X68" i="2"/>
  <c r="W68" i="2"/>
  <c r="V68" i="2"/>
  <c r="U68" i="2"/>
  <c r="T68" i="2"/>
  <c r="S68" i="2"/>
  <c r="R68" i="2"/>
  <c r="Q68" i="2"/>
  <c r="P68" i="2"/>
  <c r="O68" i="2"/>
  <c r="N68" i="2"/>
  <c r="M68" i="2"/>
  <c r="L68" i="2"/>
  <c r="K68" i="2"/>
  <c r="J68" i="2"/>
  <c r="I68" i="2"/>
  <c r="H68" i="2"/>
  <c r="G68" i="2"/>
  <c r="AX67" i="2"/>
  <c r="AW67" i="2"/>
  <c r="AV67" i="2"/>
  <c r="AU67" i="2"/>
  <c r="AT67" i="2"/>
  <c r="AS67" i="2"/>
  <c r="AR67" i="2"/>
  <c r="AQ67" i="2"/>
  <c r="AP67" i="2"/>
  <c r="AN67" i="2"/>
  <c r="AM67" i="2"/>
  <c r="AL67" i="2"/>
  <c r="AK67" i="2"/>
  <c r="AJ67" i="2"/>
  <c r="AI67" i="2"/>
  <c r="AH67" i="2"/>
  <c r="AG67" i="2"/>
  <c r="AF67" i="2"/>
  <c r="AE67" i="2"/>
  <c r="AD67" i="2"/>
  <c r="AC67" i="2"/>
  <c r="AB67" i="2"/>
  <c r="AA67" i="2"/>
  <c r="Y67" i="2"/>
  <c r="X67" i="2"/>
  <c r="W67" i="2"/>
  <c r="V67" i="2"/>
  <c r="T67" i="2"/>
  <c r="S67" i="2"/>
  <c r="R67" i="2"/>
  <c r="Q67" i="2"/>
  <c r="P67" i="2"/>
  <c r="O67" i="2"/>
  <c r="M67" i="2"/>
  <c r="L67" i="2"/>
  <c r="J67" i="2"/>
  <c r="AS65" i="2"/>
  <c r="AR65" i="2"/>
  <c r="AM65" i="2"/>
  <c r="AG65" i="2"/>
  <c r="AF65" i="2"/>
  <c r="AC65" i="2"/>
  <c r="AA65" i="2"/>
  <c r="U65" i="2"/>
  <c r="T65" i="2"/>
  <c r="Q65" i="2"/>
  <c r="O65" i="2"/>
  <c r="AU64" i="2"/>
  <c r="AM64" i="2"/>
  <c r="AF64" i="2"/>
  <c r="X64" i="2"/>
  <c r="W64" i="2"/>
  <c r="Q64" i="2"/>
  <c r="AX63" i="2"/>
  <c r="AX64" i="2" s="1"/>
  <c r="AW63" i="2"/>
  <c r="AW64" i="2" s="1"/>
  <c r="AV63" i="2"/>
  <c r="AV64" i="2" s="1"/>
  <c r="AU63" i="2"/>
  <c r="AS63" i="2"/>
  <c r="AS70" i="2" s="1"/>
  <c r="AR63" i="2"/>
  <c r="AR70" i="2" s="1"/>
  <c r="AQ63" i="2"/>
  <c r="AQ65" i="2" s="1"/>
  <c r="AP63" i="2"/>
  <c r="AP65" i="2" s="1"/>
  <c r="AN63" i="2"/>
  <c r="AN65" i="2" s="1"/>
  <c r="AM63" i="2"/>
  <c r="AM70" i="2" s="1"/>
  <c r="AL63" i="2"/>
  <c r="AL65" i="2" s="1"/>
  <c r="AK63" i="2"/>
  <c r="AK64" i="2" s="1"/>
  <c r="AI63" i="2"/>
  <c r="AH63" i="2"/>
  <c r="AI64" i="2" s="1"/>
  <c r="AG63" i="2"/>
  <c r="AG70" i="2" s="1"/>
  <c r="AF63" i="2"/>
  <c r="AE63" i="2"/>
  <c r="AD63" i="2"/>
  <c r="AD70" i="2" s="1"/>
  <c r="AC63" i="2"/>
  <c r="AC64" i="2" s="1"/>
  <c r="AB63" i="2"/>
  <c r="AB70" i="2" s="1"/>
  <c r="AA63" i="2"/>
  <c r="AA64" i="2" s="1"/>
  <c r="Y63" i="2"/>
  <c r="Y65" i="2" s="1"/>
  <c r="X63" i="2"/>
  <c r="W63" i="2"/>
  <c r="V63" i="2"/>
  <c r="V64" i="2" s="1"/>
  <c r="U63" i="2"/>
  <c r="U70" i="2" s="1"/>
  <c r="T63" i="2"/>
  <c r="T64" i="2" s="1"/>
  <c r="S63" i="2"/>
  <c r="R63" i="2"/>
  <c r="R70" i="2" s="1"/>
  <c r="Q63" i="2"/>
  <c r="Q70" i="2" s="1"/>
  <c r="P63" i="2"/>
  <c r="P70" i="2" s="1"/>
  <c r="O63" i="2"/>
  <c r="O70" i="2" s="1"/>
  <c r="M63" i="2"/>
  <c r="M70" i="2" s="1"/>
  <c r="L63" i="2"/>
  <c r="L70" i="2" s="1"/>
  <c r="J63" i="2"/>
  <c r="J70" i="2" s="1"/>
  <c r="F63" i="2"/>
  <c r="BF60" i="2"/>
  <c r="BF82" i="2" s="1"/>
  <c r="BE60" i="2"/>
  <c r="BE82" i="2" s="1"/>
  <c r="AX59" i="2"/>
  <c r="AW59" i="2"/>
  <c r="AV59" i="2"/>
  <c r="AU59" i="2"/>
  <c r="AS59" i="2"/>
  <c r="AR59" i="2"/>
  <c r="AQ59" i="2"/>
  <c r="AP59" i="2"/>
  <c r="AN59" i="2"/>
  <c r="AM59" i="2"/>
  <c r="AL59" i="2"/>
  <c r="AK59" i="2"/>
  <c r="AZ58" i="2"/>
  <c r="AX58" i="2"/>
  <c r="AW58" i="2"/>
  <c r="AV58" i="2"/>
  <c r="AU58" i="2"/>
  <c r="AS58" i="2"/>
  <c r="AR58" i="2"/>
  <c r="AQ58" i="2"/>
  <c r="AP58" i="2"/>
  <c r="AN58" i="2"/>
  <c r="AM58" i="2"/>
  <c r="AL58" i="2"/>
  <c r="AK58" i="2"/>
  <c r="AI58" i="2"/>
  <c r="AH58" i="2"/>
  <c r="AG58" i="2"/>
  <c r="AZ57" i="2"/>
  <c r="AZ81" i="2" s="1"/>
  <c r="AY57" i="2"/>
  <c r="AY81" i="2" s="1"/>
  <c r="AT57" i="2"/>
  <c r="AT59" i="2" s="1"/>
  <c r="AO57" i="2"/>
  <c r="AO81" i="2" s="1"/>
  <c r="AJ57" i="2"/>
  <c r="AJ8" i="2" s="1"/>
  <c r="AX56" i="2"/>
  <c r="AW56" i="2"/>
  <c r="AV56" i="2"/>
  <c r="AU56" i="2"/>
  <c r="AS56" i="2"/>
  <c r="AR56" i="2"/>
  <c r="AQ56" i="2"/>
  <c r="AP56" i="2"/>
  <c r="AN56" i="2"/>
  <c r="AM56" i="2"/>
  <c r="AL56" i="2"/>
  <c r="AK56" i="2"/>
  <c r="AJ56" i="2"/>
  <c r="AI56" i="2"/>
  <c r="AH56" i="2"/>
  <c r="AG56" i="2"/>
  <c r="AF56" i="2"/>
  <c r="AD56" i="2"/>
  <c r="AC56" i="2"/>
  <c r="AB56" i="2"/>
  <c r="AA56" i="2"/>
  <c r="Y56" i="2"/>
  <c r="X56" i="2"/>
  <c r="W56" i="2"/>
  <c r="V56" i="2"/>
  <c r="U56" i="2"/>
  <c r="T56" i="2"/>
  <c r="R56" i="2"/>
  <c r="Q56" i="2"/>
  <c r="O56" i="2"/>
  <c r="AX55" i="2"/>
  <c r="AW55" i="2"/>
  <c r="AV55" i="2"/>
  <c r="AU55" i="2"/>
  <c r="AS55" i="2"/>
  <c r="AR55" i="2"/>
  <c r="AQ55" i="2"/>
  <c r="AP55" i="2"/>
  <c r="AN55" i="2"/>
  <c r="AM55" i="2"/>
  <c r="AL55" i="2"/>
  <c r="AK55" i="2"/>
  <c r="AI55" i="2"/>
  <c r="AH55" i="2"/>
  <c r="AG55" i="2"/>
  <c r="AF55" i="2"/>
  <c r="AD55" i="2"/>
  <c r="AC55" i="2"/>
  <c r="AB55" i="2"/>
  <c r="AA55" i="2"/>
  <c r="Y55" i="2"/>
  <c r="X55" i="2"/>
  <c r="W55" i="2"/>
  <c r="V55" i="2"/>
  <c r="T55" i="2"/>
  <c r="S55" i="2"/>
  <c r="R55" i="2"/>
  <c r="Q55" i="2"/>
  <c r="O55" i="2"/>
  <c r="M55" i="2"/>
  <c r="L55" i="2"/>
  <c r="AZ54" i="2"/>
  <c r="AZ80" i="2" s="1"/>
  <c r="AY54" i="2"/>
  <c r="AY80" i="2" s="1"/>
  <c r="AT54" i="2"/>
  <c r="AT80" i="2" s="1"/>
  <c r="AO54" i="2"/>
  <c r="AO80" i="2" s="1"/>
  <c r="AJ54" i="2"/>
  <c r="AJ63" i="2" s="1"/>
  <c r="AE54" i="2"/>
  <c r="AE56" i="2" s="1"/>
  <c r="Z54" i="2"/>
  <c r="Z56" i="2" s="1"/>
  <c r="V54" i="2"/>
  <c r="U54" i="2"/>
  <c r="U67" i="2" s="1"/>
  <c r="N54" i="2"/>
  <c r="N67" i="2" s="1"/>
  <c r="A49" i="2"/>
  <c r="AS47" i="2"/>
  <c r="AN47" i="2"/>
  <c r="AG47" i="2"/>
  <c r="AS46" i="2"/>
  <c r="AI46" i="2"/>
  <c r="AD46" i="2"/>
  <c r="AB46" i="2"/>
  <c r="AW45" i="2"/>
  <c r="AW47" i="2" s="1"/>
  <c r="AV45" i="2"/>
  <c r="AV46" i="2" s="1"/>
  <c r="AU45" i="2"/>
  <c r="AU47" i="2" s="1"/>
  <c r="AT45" i="2"/>
  <c r="AT47" i="2" s="1"/>
  <c r="AS45" i="2"/>
  <c r="AU46" i="2" s="1"/>
  <c r="AR45" i="2"/>
  <c r="AR47" i="2" s="1"/>
  <c r="AQ45" i="2"/>
  <c r="AQ47" i="2" s="1"/>
  <c r="AP45" i="2"/>
  <c r="AP47" i="2" s="1"/>
  <c r="AO45" i="2"/>
  <c r="AO47" i="2" s="1"/>
  <c r="AN45" i="2"/>
  <c r="AN46" i="2" s="1"/>
  <c r="AM45" i="2"/>
  <c r="AM46" i="2" s="1"/>
  <c r="AL45" i="2"/>
  <c r="AL46" i="2" s="1"/>
  <c r="AK45" i="2"/>
  <c r="AK46" i="2" s="1"/>
  <c r="AJ45" i="2"/>
  <c r="AJ47" i="2" s="1"/>
  <c r="AI45" i="2"/>
  <c r="AI47" i="2" s="1"/>
  <c r="AH45" i="2"/>
  <c r="AH47" i="2" s="1"/>
  <c r="AG45" i="2"/>
  <c r="AG46" i="2" s="1"/>
  <c r="AF45" i="2"/>
  <c r="AF46" i="2" s="1"/>
  <c r="AE45" i="2"/>
  <c r="AE47" i="2" s="1"/>
  <c r="AD45" i="2"/>
  <c r="AD47" i="2" s="1"/>
  <c r="AC45" i="2"/>
  <c r="AB45" i="2"/>
  <c r="AC46" i="2" s="1"/>
  <c r="AA45" i="2"/>
  <c r="AA46" i="2" s="1"/>
  <c r="Z45" i="2"/>
  <c r="Y45" i="2"/>
  <c r="AW43" i="2"/>
  <c r="AV43" i="2"/>
  <c r="AU43" i="2"/>
  <c r="AT43" i="2"/>
  <c r="AS43" i="2"/>
  <c r="AR43" i="2"/>
  <c r="AQ43" i="2"/>
  <c r="AP43" i="2"/>
  <c r="AO43" i="2"/>
  <c r="AN43" i="2"/>
  <c r="AM43" i="2"/>
  <c r="AL43" i="2"/>
  <c r="AK43" i="2"/>
  <c r="AJ43" i="2"/>
  <c r="AI43" i="2"/>
  <c r="AH43" i="2"/>
  <c r="AG43" i="2"/>
  <c r="AF43" i="2"/>
  <c r="AE43" i="2"/>
  <c r="AD43" i="2"/>
  <c r="AC43" i="2"/>
  <c r="AB43" i="2"/>
  <c r="AA43" i="2"/>
  <c r="Z43" i="2"/>
  <c r="AW42" i="2"/>
  <c r="AV42" i="2"/>
  <c r="AU42" i="2"/>
  <c r="AT42" i="2"/>
  <c r="AS42" i="2"/>
  <c r="AR42" i="2"/>
  <c r="AQ42" i="2"/>
  <c r="AP42" i="2"/>
  <c r="AO42" i="2"/>
  <c r="AN42" i="2"/>
  <c r="AM42" i="2"/>
  <c r="AL42" i="2"/>
  <c r="AK42" i="2"/>
  <c r="AJ42" i="2"/>
  <c r="AI42" i="2"/>
  <c r="AH42" i="2"/>
  <c r="AG42" i="2"/>
  <c r="AF42" i="2"/>
  <c r="AE42" i="2"/>
  <c r="AW41" i="2"/>
  <c r="AV41" i="2"/>
  <c r="AU41" i="2"/>
  <c r="AT41" i="2"/>
  <c r="AS41" i="2"/>
  <c r="AR41" i="2"/>
  <c r="AQ41" i="2"/>
  <c r="AP41" i="2"/>
  <c r="AO41" i="2"/>
  <c r="AN41" i="2"/>
  <c r="AM41" i="2"/>
  <c r="AL41" i="2"/>
  <c r="AK41" i="2"/>
  <c r="AJ41" i="2"/>
  <c r="AI41" i="2"/>
  <c r="AH41" i="2"/>
  <c r="AG41" i="2"/>
  <c r="AF41" i="2"/>
  <c r="AR37" i="2"/>
  <c r="AR38" i="2" s="1"/>
  <c r="AF37" i="2"/>
  <c r="T37" i="2"/>
  <c r="T38" i="2" s="1"/>
  <c r="H37" i="2"/>
  <c r="H48" i="2" s="1"/>
  <c r="AW36" i="2"/>
  <c r="AV36" i="2"/>
  <c r="AU36" i="2"/>
  <c r="AT36" i="2"/>
  <c r="AS36" i="2"/>
  <c r="AR36" i="2"/>
  <c r="AQ36" i="2"/>
  <c r="AP36" i="2"/>
  <c r="AO36" i="2"/>
  <c r="AN36" i="2"/>
  <c r="AM36" i="2"/>
  <c r="AM37" i="2" s="1"/>
  <c r="AL36" i="2"/>
  <c r="AK36" i="2"/>
  <c r="AJ36" i="2"/>
  <c r="AI36" i="2"/>
  <c r="AH36" i="2"/>
  <c r="AG36" i="2"/>
  <c r="AF36" i="2"/>
  <c r="AE36" i="2"/>
  <c r="AD36" i="2"/>
  <c r="AC36" i="2"/>
  <c r="AB36" i="2"/>
  <c r="AA36" i="2"/>
  <c r="AA37" i="2" s="1"/>
  <c r="Z36" i="2"/>
  <c r="Y36" i="2"/>
  <c r="X36" i="2"/>
  <c r="W36" i="2"/>
  <c r="V36" i="2"/>
  <c r="U36" i="2"/>
  <c r="T36" i="2"/>
  <c r="S36" i="2"/>
  <c r="R36" i="2"/>
  <c r="Q36" i="2"/>
  <c r="P36" i="2"/>
  <c r="O36" i="2"/>
  <c r="O37" i="2" s="1"/>
  <c r="N36" i="2"/>
  <c r="M36" i="2"/>
  <c r="L36" i="2"/>
  <c r="K36" i="2"/>
  <c r="J36" i="2"/>
  <c r="I36" i="2"/>
  <c r="H36" i="2"/>
  <c r="G36" i="2"/>
  <c r="F36" i="2"/>
  <c r="E36" i="2"/>
  <c r="D36" i="2"/>
  <c r="C36" i="2"/>
  <c r="C37" i="2" s="1"/>
  <c r="C48" i="2" s="1"/>
  <c r="AW35" i="2"/>
  <c r="AV35" i="2"/>
  <c r="AU35" i="2"/>
  <c r="AT35" i="2"/>
  <c r="AS35" i="2"/>
  <c r="AR35" i="2"/>
  <c r="AQ35" i="2"/>
  <c r="AP35" i="2"/>
  <c r="AO35" i="2"/>
  <c r="AN35" i="2"/>
  <c r="AM35" i="2"/>
  <c r="AL35" i="2"/>
  <c r="AK35" i="2"/>
  <c r="AJ35" i="2"/>
  <c r="AI35" i="2"/>
  <c r="AH35" i="2"/>
  <c r="AG35" i="2"/>
  <c r="AF35" i="2"/>
  <c r="AE35" i="2"/>
  <c r="AD35" i="2"/>
  <c r="AC35" i="2"/>
  <c r="AB35" i="2"/>
  <c r="AA35" i="2"/>
  <c r="Z35" i="2"/>
  <c r="Y35" i="2"/>
  <c r="X35" i="2"/>
  <c r="AW34" i="2"/>
  <c r="AW37" i="2" s="1"/>
  <c r="AV34" i="2"/>
  <c r="AV37" i="2" s="1"/>
  <c r="AU34" i="2"/>
  <c r="AU37" i="2" s="1"/>
  <c r="AT34" i="2"/>
  <c r="AT37" i="2" s="1"/>
  <c r="AS34" i="2"/>
  <c r="AS37" i="2" s="1"/>
  <c r="AR34" i="2"/>
  <c r="AQ34" i="2"/>
  <c r="AQ37" i="2" s="1"/>
  <c r="AP34" i="2"/>
  <c r="AP37" i="2" s="1"/>
  <c r="AO34" i="2"/>
  <c r="AO37" i="2" s="1"/>
  <c r="AN34" i="2"/>
  <c r="AN37" i="2" s="1"/>
  <c r="AM34" i="2"/>
  <c r="AL34" i="2"/>
  <c r="AL37" i="2" s="1"/>
  <c r="AK34" i="2"/>
  <c r="AK37" i="2" s="1"/>
  <c r="AJ34" i="2"/>
  <c r="AJ37" i="2" s="1"/>
  <c r="AI34" i="2"/>
  <c r="AI37" i="2" s="1"/>
  <c r="AH34" i="2"/>
  <c r="AH37" i="2" s="1"/>
  <c r="AG34" i="2"/>
  <c r="AG37" i="2" s="1"/>
  <c r="AF34" i="2"/>
  <c r="AE34" i="2"/>
  <c r="AE37" i="2" s="1"/>
  <c r="AD34" i="2"/>
  <c r="AD37" i="2" s="1"/>
  <c r="AC34" i="2"/>
  <c r="AC37" i="2" s="1"/>
  <c r="AB34" i="2"/>
  <c r="AB37" i="2" s="1"/>
  <c r="AA34" i="2"/>
  <c r="Z34" i="2"/>
  <c r="Z37" i="2" s="1"/>
  <c r="Y34" i="2"/>
  <c r="Y37" i="2" s="1"/>
  <c r="X34" i="2"/>
  <c r="X37" i="2" s="1"/>
  <c r="W34" i="2"/>
  <c r="W37" i="2" s="1"/>
  <c r="V34" i="2"/>
  <c r="V37" i="2" s="1"/>
  <c r="U34" i="2"/>
  <c r="U37" i="2" s="1"/>
  <c r="T34" i="2"/>
  <c r="S34" i="2"/>
  <c r="S37" i="2" s="1"/>
  <c r="R34" i="2"/>
  <c r="R37" i="2" s="1"/>
  <c r="Q34" i="2"/>
  <c r="Q37" i="2" s="1"/>
  <c r="P34" i="2"/>
  <c r="P37" i="2" s="1"/>
  <c r="O34" i="2"/>
  <c r="N34" i="2"/>
  <c r="N37" i="2" s="1"/>
  <c r="M34" i="2"/>
  <c r="M37" i="2" s="1"/>
  <c r="L34" i="2"/>
  <c r="L37" i="2" s="1"/>
  <c r="K34" i="2"/>
  <c r="K37" i="2" s="1"/>
  <c r="J34" i="2"/>
  <c r="J37" i="2" s="1"/>
  <c r="I34" i="2"/>
  <c r="I37" i="2" s="1"/>
  <c r="H34" i="2"/>
  <c r="G34" i="2"/>
  <c r="G37" i="2" s="1"/>
  <c r="F34" i="2"/>
  <c r="F37" i="2" s="1"/>
  <c r="E34" i="2"/>
  <c r="E37" i="2" s="1"/>
  <c r="D34" i="2"/>
  <c r="D37" i="2" s="1"/>
  <c r="C34" i="2"/>
  <c r="AS32" i="2"/>
  <c r="AU31" i="2"/>
  <c r="AR31" i="2"/>
  <c r="AW30" i="2"/>
  <c r="AW32" i="2" s="1"/>
  <c r="AV30" i="2"/>
  <c r="AV32" i="2" s="1"/>
  <c r="AU30" i="2"/>
  <c r="AT30" i="2"/>
  <c r="AT32" i="2" s="1"/>
  <c r="AS30" i="2"/>
  <c r="AS31" i="2" s="1"/>
  <c r="AR30" i="2"/>
  <c r="AQ30" i="2"/>
  <c r="AQ32" i="2" s="1"/>
  <c r="AP30" i="2"/>
  <c r="AU32" i="2" s="1"/>
  <c r="AO30" i="2"/>
  <c r="AN30" i="2"/>
  <c r="AN31" i="2" s="1"/>
  <c r="AM30" i="2"/>
  <c r="AR32" i="2" s="1"/>
  <c r="AL30" i="2"/>
  <c r="AJ28" i="2"/>
  <c r="AI28" i="2"/>
  <c r="AH28" i="2"/>
  <c r="AG28" i="2"/>
  <c r="AF28" i="2"/>
  <c r="BB26" i="2"/>
  <c r="BB28" i="2" s="1"/>
  <c r="AW26" i="2"/>
  <c r="AD26" i="2"/>
  <c r="U26" i="2"/>
  <c r="R26" i="2"/>
  <c r="O26" i="2"/>
  <c r="L26" i="2"/>
  <c r="I26" i="2"/>
  <c r="F26" i="2"/>
  <c r="AW24" i="2"/>
  <c r="AV24" i="2"/>
  <c r="AU24" i="2"/>
  <c r="AT24" i="2"/>
  <c r="AS24" i="2"/>
  <c r="AR24" i="2"/>
  <c r="AQ24" i="2"/>
  <c r="AP24" i="2"/>
  <c r="AO24" i="2"/>
  <c r="AN24" i="2"/>
  <c r="AM24" i="2"/>
  <c r="AL24" i="2"/>
  <c r="AK24" i="2"/>
  <c r="AJ24" i="2"/>
  <c r="AI24" i="2"/>
  <c r="AH24" i="2"/>
  <c r="AG24" i="2"/>
  <c r="AF24" i="2"/>
  <c r="AW20" i="2"/>
  <c r="AS20" i="2"/>
  <c r="AQ20" i="2"/>
  <c r="AK20" i="2"/>
  <c r="AG20" i="2"/>
  <c r="AR19" i="2"/>
  <c r="AM19" i="2"/>
  <c r="T19" i="2"/>
  <c r="O19" i="2"/>
  <c r="AS18" i="2"/>
  <c r="AN18" i="2"/>
  <c r="AL18" i="2"/>
  <c r="O18" i="2"/>
  <c r="H18" i="2"/>
  <c r="AX17" i="2"/>
  <c r="AX18" i="2" s="1"/>
  <c r="AW17" i="2"/>
  <c r="AW19" i="2" s="1"/>
  <c r="AV17" i="2"/>
  <c r="AW18" i="2" s="1"/>
  <c r="AS17" i="2"/>
  <c r="AS19" i="2" s="1"/>
  <c r="AR17" i="2"/>
  <c r="AR18" i="2" s="1"/>
  <c r="AQ17" i="2"/>
  <c r="AQ18" i="2" s="1"/>
  <c r="AP17" i="2"/>
  <c r="AP18" i="2" s="1"/>
  <c r="AN17" i="2"/>
  <c r="AN19" i="2" s="1"/>
  <c r="AM17" i="2"/>
  <c r="AL17" i="2"/>
  <c r="AM18" i="2" s="1"/>
  <c r="AK17" i="2"/>
  <c r="AK18" i="2" s="1"/>
  <c r="AI17" i="2"/>
  <c r="AI18" i="2" s="1"/>
  <c r="AH17" i="2"/>
  <c r="AH19" i="2" s="1"/>
  <c r="AG17" i="2"/>
  <c r="AG19" i="2" s="1"/>
  <c r="AD17" i="2"/>
  <c r="AC17" i="2"/>
  <c r="AB17" i="2"/>
  <c r="W17" i="2"/>
  <c r="W19" i="2" s="1"/>
  <c r="U17" i="2"/>
  <c r="U19" i="2" s="1"/>
  <c r="T17" i="2"/>
  <c r="T18" i="2" s="1"/>
  <c r="S17" i="2"/>
  <c r="S19" i="2" s="1"/>
  <c r="R17" i="2"/>
  <c r="R19" i="2" s="1"/>
  <c r="Q17" i="2"/>
  <c r="Q19" i="2" s="1"/>
  <c r="P17" i="2"/>
  <c r="P19" i="2" s="1"/>
  <c r="O17" i="2"/>
  <c r="N17" i="2"/>
  <c r="N19" i="2" s="1"/>
  <c r="M17" i="2"/>
  <c r="M18" i="2" s="1"/>
  <c r="L17" i="2"/>
  <c r="L18" i="2" s="1"/>
  <c r="K17" i="2"/>
  <c r="K19" i="2" s="1"/>
  <c r="J17" i="2"/>
  <c r="I17" i="2"/>
  <c r="J18" i="2" s="1"/>
  <c r="H17" i="2"/>
  <c r="G17" i="2"/>
  <c r="F17" i="2"/>
  <c r="D17" i="2"/>
  <c r="BF16" i="2"/>
  <c r="BE16" i="2"/>
  <c r="BD16" i="2"/>
  <c r="BC16" i="2"/>
  <c r="BB16" i="2"/>
  <c r="BA16" i="2"/>
  <c r="AZ16" i="2"/>
  <c r="AY16" i="2"/>
  <c r="AX16" i="2"/>
  <c r="AW16" i="2"/>
  <c r="AV16" i="2"/>
  <c r="AU16" i="2"/>
  <c r="AT16" i="2"/>
  <c r="AS16" i="2"/>
  <c r="AR16" i="2"/>
  <c r="AQ16" i="2"/>
  <c r="AP16" i="2"/>
  <c r="AO16" i="2"/>
  <c r="AN16" i="2"/>
  <c r="AM16" i="2"/>
  <c r="AL16" i="2"/>
  <c r="AK16" i="2"/>
  <c r="AJ16" i="2"/>
  <c r="AI16" i="2"/>
  <c r="AH16" i="2"/>
  <c r="AG16" i="2"/>
  <c r="AF16" i="2"/>
  <c r="AE16" i="2"/>
  <c r="AD16" i="2"/>
  <c r="AC16" i="2"/>
  <c r="AB16" i="2"/>
  <c r="AA16" i="2"/>
  <c r="Z16" i="2"/>
  <c r="Y16" i="2"/>
  <c r="X16" i="2"/>
  <c r="W16" i="2"/>
  <c r="V16" i="2"/>
  <c r="U16" i="2"/>
  <c r="T16" i="2"/>
  <c r="S16" i="2"/>
  <c r="R16" i="2"/>
  <c r="Q16" i="2"/>
  <c r="P16" i="2"/>
  <c r="O16" i="2"/>
  <c r="N16" i="2"/>
  <c r="M16" i="2"/>
  <c r="L16" i="2"/>
  <c r="K16" i="2"/>
  <c r="J16" i="2"/>
  <c r="I16" i="2"/>
  <c r="H16" i="2"/>
  <c r="G16" i="2"/>
  <c r="F16" i="2"/>
  <c r="E16" i="2"/>
  <c r="D16" i="2"/>
  <c r="A16" i="2"/>
  <c r="AZ15" i="2"/>
  <c r="AY15" i="2"/>
  <c r="AX15" i="2"/>
  <c r="AW15" i="2"/>
  <c r="AV15" i="2"/>
  <c r="AU15" i="2"/>
  <c r="AT15" i="2"/>
  <c r="AS15" i="2"/>
  <c r="AR15" i="2"/>
  <c r="AQ15" i="2"/>
  <c r="AP15" i="2"/>
  <c r="AO15" i="2"/>
  <c r="AN15" i="2"/>
  <c r="AM15" i="2"/>
  <c r="AL15" i="2"/>
  <c r="AK15" i="2"/>
  <c r="AJ15" i="2"/>
  <c r="AI15" i="2"/>
  <c r="AH15" i="2"/>
  <c r="AG15" i="2"/>
  <c r="AF15" i="2"/>
  <c r="AE15" i="2"/>
  <c r="AD15" i="2"/>
  <c r="AC15" i="2"/>
  <c r="AB15" i="2"/>
  <c r="AA15" i="2"/>
  <c r="Z15" i="2"/>
  <c r="Y15" i="2"/>
  <c r="X15" i="2"/>
  <c r="W15" i="2"/>
  <c r="V15" i="2"/>
  <c r="U15" i="2"/>
  <c r="T15" i="2"/>
  <c r="S15" i="2"/>
  <c r="R15" i="2"/>
  <c r="Q15" i="2"/>
  <c r="P15" i="2"/>
  <c r="O15" i="2"/>
  <c r="N15" i="2"/>
  <c r="M15" i="2"/>
  <c r="L15" i="2"/>
  <c r="K15" i="2"/>
  <c r="J15" i="2"/>
  <c r="I15" i="2"/>
  <c r="H15" i="2"/>
  <c r="G15" i="2"/>
  <c r="F15" i="2"/>
  <c r="E15" i="2"/>
  <c r="D15" i="2"/>
  <c r="A15" i="2"/>
  <c r="AZ14" i="2"/>
  <c r="AY14" i="2"/>
  <c r="AX14" i="2"/>
  <c r="AW14" i="2"/>
  <c r="AV14" i="2"/>
  <c r="AU14" i="2"/>
  <c r="AT14" i="2"/>
  <c r="AS14" i="2"/>
  <c r="AR14" i="2"/>
  <c r="AQ14" i="2"/>
  <c r="AP14" i="2"/>
  <c r="AO14" i="2"/>
  <c r="AN14" i="2"/>
  <c r="AM14" i="2"/>
  <c r="AL14" i="2"/>
  <c r="AK14" i="2"/>
  <c r="AJ14" i="2"/>
  <c r="AI14" i="2"/>
  <c r="AH14" i="2"/>
  <c r="AG14" i="2"/>
  <c r="AF14" i="2"/>
  <c r="AE14" i="2"/>
  <c r="AD14" i="2"/>
  <c r="AC14" i="2"/>
  <c r="AB14" i="2"/>
  <c r="AA14" i="2"/>
  <c r="Y14" i="2"/>
  <c r="X14" i="2"/>
  <c r="W14" i="2"/>
  <c r="V14" i="2"/>
  <c r="U14" i="2"/>
  <c r="T14" i="2"/>
  <c r="S14" i="2"/>
  <c r="R14" i="2"/>
  <c r="Q14" i="2"/>
  <c r="P14" i="2"/>
  <c r="O14" i="2"/>
  <c r="N14" i="2"/>
  <c r="M14" i="2"/>
  <c r="L14" i="2"/>
  <c r="K14" i="2"/>
  <c r="J14" i="2"/>
  <c r="I14" i="2"/>
  <c r="H14" i="2"/>
  <c r="G14" i="2"/>
  <c r="F14" i="2"/>
  <c r="E14" i="2"/>
  <c r="D14" i="2"/>
  <c r="A14" i="2"/>
  <c r="AU12" i="2"/>
  <c r="AI12" i="2"/>
  <c r="AC12" i="2"/>
  <c r="W12" i="2"/>
  <c r="Q12" i="2"/>
  <c r="AP11" i="2"/>
  <c r="W11" i="2"/>
  <c r="L11" i="2"/>
  <c r="AX10" i="2"/>
  <c r="AX25" i="5" s="1"/>
  <c r="AV10" i="2"/>
  <c r="AV25" i="5" s="1"/>
  <c r="AU10" i="2"/>
  <c r="AU25" i="5" s="1"/>
  <c r="AS10" i="2"/>
  <c r="AS25" i="5" s="1"/>
  <c r="AR10" i="2"/>
  <c r="AR25" i="5" s="1"/>
  <c r="AP10" i="2"/>
  <c r="AP25" i="5" s="1"/>
  <c r="AN10" i="2"/>
  <c r="AN25" i="5" s="1"/>
  <c r="AM10" i="2"/>
  <c r="AM25" i="5" s="1"/>
  <c r="AL10" i="2"/>
  <c r="AL25" i="5" s="1"/>
  <c r="AI10" i="2"/>
  <c r="AI25" i="5" s="1"/>
  <c r="AH10" i="2"/>
  <c r="AH25" i="5" s="1"/>
  <c r="AG10" i="2"/>
  <c r="AG25" i="5" s="1"/>
  <c r="AF10" i="2"/>
  <c r="AF25" i="5" s="1"/>
  <c r="AD10" i="2"/>
  <c r="AD25" i="5" s="1"/>
  <c r="AC10" i="2"/>
  <c r="AC25" i="5" s="1"/>
  <c r="AB10" i="2"/>
  <c r="AB25" i="5" s="1"/>
  <c r="AA10" i="2"/>
  <c r="AA25" i="5" s="1"/>
  <c r="X10" i="2"/>
  <c r="X25" i="5" s="1"/>
  <c r="W10" i="2"/>
  <c r="W25" i="5" s="1"/>
  <c r="V10" i="2"/>
  <c r="V25" i="5" s="1"/>
  <c r="U10" i="2"/>
  <c r="U25" i="5" s="1"/>
  <c r="T10" i="2"/>
  <c r="T25" i="5" s="1"/>
  <c r="R10" i="2"/>
  <c r="R25" i="5" s="1"/>
  <c r="Q10" i="2"/>
  <c r="Q25" i="5" s="1"/>
  <c r="P10" i="2"/>
  <c r="P25" i="5" s="1"/>
  <c r="O10" i="2"/>
  <c r="O25" i="5" s="1"/>
  <c r="L10" i="2"/>
  <c r="L25" i="5" s="1"/>
  <c r="J10" i="2"/>
  <c r="J25" i="5" s="1"/>
  <c r="F10" i="2"/>
  <c r="F25" i="5" s="1"/>
  <c r="BF9" i="2"/>
  <c r="BE9" i="2"/>
  <c r="BD9" i="2"/>
  <c r="BC9" i="2"/>
  <c r="BB9" i="2"/>
  <c r="BA9" i="2"/>
  <c r="AZ9" i="2"/>
  <c r="AY9" i="2"/>
  <c r="AX9" i="2"/>
  <c r="AW9" i="2"/>
  <c r="AV9" i="2"/>
  <c r="AU9" i="2"/>
  <c r="A9" i="2"/>
  <c r="AZ8" i="2"/>
  <c r="AY8" i="2"/>
  <c r="AX8" i="2"/>
  <c r="AW8" i="2"/>
  <c r="AV8" i="2"/>
  <c r="AU8" i="2"/>
  <c r="AT8" i="2"/>
  <c r="AS8" i="2"/>
  <c r="AR8" i="2"/>
  <c r="AQ8" i="2"/>
  <c r="AP8" i="2"/>
  <c r="AO8" i="2"/>
  <c r="AN8" i="2"/>
  <c r="AM8" i="2"/>
  <c r="AL8" i="2"/>
  <c r="AK8" i="2"/>
  <c r="AI8" i="2"/>
  <c r="AH8" i="2"/>
  <c r="AG8" i="2"/>
  <c r="AF8" i="2"/>
  <c r="A8" i="2"/>
  <c r="AZ7" i="2"/>
  <c r="AY7" i="2"/>
  <c r="AX7" i="2"/>
  <c r="AW7" i="2"/>
  <c r="AV7" i="2"/>
  <c r="AU7" i="2"/>
  <c r="AT7" i="2"/>
  <c r="AS7" i="2"/>
  <c r="AR7" i="2"/>
  <c r="AQ7" i="2"/>
  <c r="AP7" i="2"/>
  <c r="AO7" i="2"/>
  <c r="AN7" i="2"/>
  <c r="AM7" i="2"/>
  <c r="AL7" i="2"/>
  <c r="AK7" i="2"/>
  <c r="AJ7" i="2"/>
  <c r="AI7" i="2"/>
  <c r="AH7" i="2"/>
  <c r="AG7" i="2"/>
  <c r="AF7" i="2"/>
  <c r="AE7" i="2"/>
  <c r="AD7" i="2"/>
  <c r="AC7" i="2"/>
  <c r="AB7" i="2"/>
  <c r="AA7" i="2"/>
  <c r="Y7" i="2"/>
  <c r="X7" i="2"/>
  <c r="W7" i="2"/>
  <c r="V7" i="2"/>
  <c r="U7" i="2"/>
  <c r="T7" i="2"/>
  <c r="S7" i="2"/>
  <c r="R7" i="2"/>
  <c r="Q7" i="2"/>
  <c r="P7" i="2"/>
  <c r="O7" i="2"/>
  <c r="N7" i="2"/>
  <c r="M7" i="2"/>
  <c r="L7" i="2"/>
  <c r="J7" i="2"/>
  <c r="F7" i="2"/>
  <c r="A7" i="2"/>
  <c r="E5" i="2"/>
  <c r="F5" i="2" s="1"/>
  <c r="D5" i="2"/>
  <c r="A5" i="2"/>
  <c r="E4" i="2"/>
  <c r="D4" i="2"/>
  <c r="A4" i="2"/>
  <c r="E3" i="2"/>
  <c r="C2" i="2"/>
  <c r="C2" i="7" s="1"/>
  <c r="H13" i="1"/>
  <c r="H11" i="1"/>
  <c r="H9" i="1"/>
  <c r="D79" i="6"/>
  <c r="D69" i="6"/>
  <c r="D42" i="6"/>
  <c r="D18" i="6"/>
  <c r="D94" i="6"/>
  <c r="D52" i="6"/>
  <c r="D28" i="6"/>
  <c r="D90" i="6"/>
  <c r="D76" i="6"/>
  <c r="D66" i="6"/>
  <c r="D38" i="6"/>
  <c r="D14" i="6"/>
  <c r="D104" i="6"/>
  <c r="D87" i="6"/>
  <c r="D73" i="6"/>
  <c r="D48" i="6"/>
  <c r="D24" i="6"/>
  <c r="D84" i="6"/>
  <c r="D58" i="6"/>
  <c r="D34" i="6"/>
  <c r="D10" i="6"/>
  <c r="D100" i="6"/>
  <c r="D70" i="6"/>
  <c r="D44" i="6"/>
  <c r="D20" i="6"/>
  <c r="D95" i="6"/>
  <c r="D54" i="6"/>
  <c r="D30" i="6"/>
  <c r="D6" i="6"/>
  <c r="D77" i="6"/>
  <c r="D67" i="6"/>
  <c r="D40" i="6"/>
  <c r="D16" i="6"/>
  <c r="D89" i="6"/>
  <c r="D50" i="6"/>
  <c r="D26" i="6"/>
  <c r="D105" i="6"/>
  <c r="D86" i="6"/>
  <c r="D64" i="6"/>
  <c r="D36" i="6"/>
  <c r="D12" i="6"/>
  <c r="D102" i="6"/>
  <c r="D71" i="6"/>
  <c r="D46" i="6"/>
  <c r="D22" i="6"/>
  <c r="D99" i="6"/>
  <c r="D82" i="6"/>
  <c r="D56" i="6"/>
  <c r="D32" i="6"/>
  <c r="D8" i="6"/>
  <c r="K48" i="2" l="1"/>
  <c r="K39" i="2"/>
  <c r="AU48" i="2"/>
  <c r="AU38" i="2"/>
  <c r="AU39" i="2"/>
  <c r="N48" i="2"/>
  <c r="N39" i="2"/>
  <c r="N38" i="2"/>
  <c r="Z48" i="2"/>
  <c r="Z39" i="2"/>
  <c r="AL48" i="2"/>
  <c r="AL39" i="2"/>
  <c r="AL38" i="2"/>
  <c r="D39" i="2"/>
  <c r="D48" i="2"/>
  <c r="D51" i="2" s="1"/>
  <c r="D17" i="5" s="1"/>
  <c r="P48" i="2"/>
  <c r="P51" i="2" s="1"/>
  <c r="P17" i="5" s="1"/>
  <c r="P39" i="2"/>
  <c r="AN38" i="2"/>
  <c r="AN48" i="2"/>
  <c r="AN39" i="2"/>
  <c r="O39" i="2"/>
  <c r="O38" i="2"/>
  <c r="O48" i="2"/>
  <c r="AM39" i="2"/>
  <c r="AM38" i="2"/>
  <c r="AM48" i="2"/>
  <c r="AQ111" i="2"/>
  <c r="H50" i="2"/>
  <c r="AB38" i="2"/>
  <c r="AB48" i="2"/>
  <c r="AB39" i="2"/>
  <c r="AA39" i="2"/>
  <c r="AA38" i="2"/>
  <c r="AA48" i="2"/>
  <c r="E39" i="2"/>
  <c r="E48" i="2"/>
  <c r="Q38" i="2"/>
  <c r="Q48" i="2"/>
  <c r="Q39" i="2"/>
  <c r="AC38" i="2"/>
  <c r="AC48" i="2"/>
  <c r="AC39" i="2"/>
  <c r="AO48" i="2"/>
  <c r="AO39" i="2"/>
  <c r="AF38" i="2"/>
  <c r="F39" i="2"/>
  <c r="F48" i="2"/>
  <c r="F51" i="2" s="1"/>
  <c r="F17" i="5" s="1"/>
  <c r="AP38" i="2"/>
  <c r="AP48" i="2"/>
  <c r="AP39" i="2"/>
  <c r="R38" i="2"/>
  <c r="R48" i="2"/>
  <c r="R39" i="2"/>
  <c r="G48" i="2"/>
  <c r="H38" i="2"/>
  <c r="S38" i="2"/>
  <c r="S48" i="2"/>
  <c r="S39" i="2"/>
  <c r="AE48" i="2"/>
  <c r="AE39" i="2"/>
  <c r="AQ38" i="2"/>
  <c r="AQ48" i="2"/>
  <c r="AQ39" i="2"/>
  <c r="AD38" i="2"/>
  <c r="AD48" i="2"/>
  <c r="AD39" i="2"/>
  <c r="I48" i="2"/>
  <c r="I50" i="2" s="1"/>
  <c r="I38" i="2"/>
  <c r="AG38" i="2"/>
  <c r="AG48" i="2"/>
  <c r="AG39" i="2"/>
  <c r="AS38" i="2"/>
  <c r="AS48" i="2"/>
  <c r="AS39" i="2"/>
  <c r="U48" i="2"/>
  <c r="U51" i="2" s="1"/>
  <c r="U17" i="5" s="1"/>
  <c r="U39" i="2"/>
  <c r="J48" i="2"/>
  <c r="J50" i="2" s="1"/>
  <c r="J38" i="2"/>
  <c r="V48" i="2"/>
  <c r="V39" i="2"/>
  <c r="V38" i="2"/>
  <c r="AH38" i="2"/>
  <c r="AH48" i="2"/>
  <c r="AH39" i="2"/>
  <c r="AT48" i="2"/>
  <c r="AT51" i="2" s="1"/>
  <c r="AT17" i="5" s="1"/>
  <c r="AT39" i="2"/>
  <c r="AJ10" i="2"/>
  <c r="AJ65" i="2"/>
  <c r="AI38" i="2"/>
  <c r="AI48" i="2"/>
  <c r="AI39" i="2"/>
  <c r="Z135" i="2"/>
  <c r="Z138" i="2" s="1"/>
  <c r="Z104" i="2"/>
  <c r="Z107" i="2" s="1"/>
  <c r="Z67" i="2"/>
  <c r="Z99" i="2"/>
  <c r="Z14" i="2"/>
  <c r="Z92" i="2"/>
  <c r="F2" i="5"/>
  <c r="F5" i="7"/>
  <c r="K5" i="2"/>
  <c r="G5" i="2"/>
  <c r="W48" i="2"/>
  <c r="W39" i="2"/>
  <c r="W38" i="2"/>
  <c r="L48" i="2"/>
  <c r="L39" i="2"/>
  <c r="L38" i="2"/>
  <c r="AJ48" i="2"/>
  <c r="AJ51" i="2" s="1"/>
  <c r="AJ17" i="5" s="1"/>
  <c r="AJ39" i="2"/>
  <c r="AV48" i="2"/>
  <c r="AV38" i="2"/>
  <c r="AV39" i="2"/>
  <c r="X48" i="2"/>
  <c r="X39" i="2"/>
  <c r="X38" i="2"/>
  <c r="M48" i="2"/>
  <c r="M39" i="2"/>
  <c r="M38" i="2"/>
  <c r="Y48" i="2"/>
  <c r="Y39" i="2"/>
  <c r="Y38" i="2"/>
  <c r="AK48" i="2"/>
  <c r="AK39" i="2"/>
  <c r="AK38" i="2"/>
  <c r="AW48" i="2"/>
  <c r="AW38" i="2"/>
  <c r="AW39" i="2"/>
  <c r="D2" i="5"/>
  <c r="D5" i="7"/>
  <c r="R11" i="2"/>
  <c r="AG11" i="2"/>
  <c r="AV11" i="2"/>
  <c r="AB12" i="2"/>
  <c r="AN12" i="2"/>
  <c r="N18" i="2"/>
  <c r="AC18" i="2"/>
  <c r="AI19" i="2"/>
  <c r="AH46" i="2"/>
  <c r="AW46" i="2"/>
  <c r="AV47" i="2"/>
  <c r="AO56" i="2"/>
  <c r="AL64" i="2"/>
  <c r="AY67" i="2"/>
  <c r="AO68" i="2"/>
  <c r="S70" i="2"/>
  <c r="AT81" i="2"/>
  <c r="N26" i="5"/>
  <c r="N100" i="2"/>
  <c r="N113" i="2"/>
  <c r="AT140" i="2"/>
  <c r="AT144" i="2" s="1"/>
  <c r="AQ141" i="2"/>
  <c r="P188" i="2"/>
  <c r="P15" i="5" s="1"/>
  <c r="BE200" i="2"/>
  <c r="BD201" i="2"/>
  <c r="AK47" i="2"/>
  <c r="AF26" i="5"/>
  <c r="AF105" i="2"/>
  <c r="AF140" i="2"/>
  <c r="AF104" i="2"/>
  <c r="AF107" i="2" s="1"/>
  <c r="AF100" i="2"/>
  <c r="AU26" i="5"/>
  <c r="AU109" i="2"/>
  <c r="AU105" i="2"/>
  <c r="AU100" i="2"/>
  <c r="AW158" i="2"/>
  <c r="BB157" i="2"/>
  <c r="A4" i="7"/>
  <c r="B896" i="2"/>
  <c r="AI11" i="2"/>
  <c r="AD12" i="2"/>
  <c r="Q18" i="2"/>
  <c r="M19" i="2"/>
  <c r="AL47" i="2"/>
  <c r="AZ55" i="2"/>
  <c r="S56" i="2"/>
  <c r="N63" i="2"/>
  <c r="S65" i="2" s="1"/>
  <c r="Z63" i="2"/>
  <c r="AE65" i="2" s="1"/>
  <c r="Y64" i="2"/>
  <c r="AN64" i="2"/>
  <c r="V65" i="2"/>
  <c r="AH65" i="2"/>
  <c r="AO67" i="2"/>
  <c r="AI70" i="2"/>
  <c r="AW70" i="2"/>
  <c r="AT104" i="2"/>
  <c r="AT135" i="2"/>
  <c r="AT138" i="2" s="1"/>
  <c r="AT99" i="2"/>
  <c r="AT92" i="2"/>
  <c r="BA93" i="2"/>
  <c r="AZ136" i="2"/>
  <c r="AZ141" i="2" s="1"/>
  <c r="AZ95" i="2"/>
  <c r="BG96" i="2"/>
  <c r="BF137" i="2"/>
  <c r="P26" i="5"/>
  <c r="P104" i="2"/>
  <c r="P107" i="2" s="1"/>
  <c r="AG100" i="2"/>
  <c r="BB27" i="5"/>
  <c r="AS117" i="2"/>
  <c r="AS113" i="2"/>
  <c r="AS125" i="2"/>
  <c r="AS122" i="2"/>
  <c r="AB176" i="2"/>
  <c r="AB177" i="2" s="1"/>
  <c r="AB314" i="2" s="1"/>
  <c r="AC168" i="2"/>
  <c r="AB168" i="2"/>
  <c r="AN169" i="2"/>
  <c r="AN14" i="5" s="1"/>
  <c r="AN168" i="2"/>
  <c r="AN176" i="2"/>
  <c r="AN177" i="2" s="1"/>
  <c r="AN157" i="2"/>
  <c r="E2" i="5"/>
  <c r="E5" i="7"/>
  <c r="AD18" i="2"/>
  <c r="L19" i="2"/>
  <c r="AV19" i="2"/>
  <c r="D1" i="5"/>
  <c r="V11" i="2"/>
  <c r="AF17" i="2"/>
  <c r="AK19" i="2" s="1"/>
  <c r="R18" i="2"/>
  <c r="AG18" i="2"/>
  <c r="AL19" i="2"/>
  <c r="AX19" i="2"/>
  <c r="AM31" i="2"/>
  <c r="AM47" i="2"/>
  <c r="AY63" i="2"/>
  <c r="L64" i="2"/>
  <c r="AP64" i="2"/>
  <c r="W65" i="2"/>
  <c r="AI65" i="2"/>
  <c r="AU65" i="2"/>
  <c r="D26" i="5"/>
  <c r="D103" i="2"/>
  <c r="D107" i="2" s="1"/>
  <c r="AK100" i="2"/>
  <c r="AU101" i="2"/>
  <c r="AW111" i="2"/>
  <c r="AT181" i="2"/>
  <c r="G113" i="2"/>
  <c r="H126" i="2"/>
  <c r="S126" i="2"/>
  <c r="S113" i="2"/>
  <c r="S127" i="2"/>
  <c r="S13" i="5" s="1"/>
  <c r="AE127" i="2"/>
  <c r="AE13" i="5" s="1"/>
  <c r="Z131" i="2"/>
  <c r="AQ163" i="2"/>
  <c r="AQ314" i="2"/>
  <c r="AJ314" i="2"/>
  <c r="AJ178" i="2"/>
  <c r="AV314" i="2"/>
  <c r="AV178" i="2"/>
  <c r="BA177" i="2"/>
  <c r="BA314" i="2" s="1"/>
  <c r="AS209" i="2"/>
  <c r="AH11" i="2"/>
  <c r="E1" i="5"/>
  <c r="E851" i="2"/>
  <c r="S18" i="2"/>
  <c r="T39" i="2"/>
  <c r="AF39" i="2"/>
  <c r="AR39" i="2"/>
  <c r="AY59" i="2"/>
  <c r="BF62" i="2"/>
  <c r="AZ63" i="2"/>
  <c r="M64" i="2"/>
  <c r="AB64" i="2"/>
  <c r="AQ64" i="2"/>
  <c r="X65" i="2"/>
  <c r="AV65" i="2"/>
  <c r="AK70" i="2"/>
  <c r="V135" i="2"/>
  <c r="V138" i="2" s="1"/>
  <c r="V99" i="2"/>
  <c r="V92" i="2"/>
  <c r="AZ135" i="2"/>
  <c r="BA90" i="2"/>
  <c r="AZ104" i="2"/>
  <c r="AI26" i="5"/>
  <c r="AI109" i="2"/>
  <c r="AK110" i="2" s="1"/>
  <c r="AI100" i="2"/>
  <c r="AI105" i="2"/>
  <c r="AI107" i="2" s="1"/>
  <c r="AX26" i="5"/>
  <c r="AX104" i="2"/>
  <c r="AX70" i="2"/>
  <c r="AX105" i="2"/>
  <c r="AX100" i="2"/>
  <c r="AX109" i="2"/>
  <c r="AX101" i="2"/>
  <c r="AG117" i="2"/>
  <c r="AG113" i="2"/>
  <c r="AG125" i="2"/>
  <c r="AH126" i="2" s="1"/>
  <c r="AU181" i="2"/>
  <c r="AU127" i="2"/>
  <c r="AU13" i="5" s="1"/>
  <c r="AK181" i="2"/>
  <c r="AO154" i="2"/>
  <c r="AO157" i="2" s="1"/>
  <c r="AW165" i="2"/>
  <c r="AD314" i="2"/>
  <c r="AD178" i="2"/>
  <c r="AF12" i="2"/>
  <c r="AR12" i="2"/>
  <c r="AH18" i="2"/>
  <c r="C3" i="2"/>
  <c r="C851" i="2" s="1"/>
  <c r="F4" i="2"/>
  <c r="Z7" i="2"/>
  <c r="M10" i="2"/>
  <c r="Y10" i="2"/>
  <c r="AK10" i="2"/>
  <c r="AW10" i="2"/>
  <c r="X11" i="2"/>
  <c r="AM11" i="2"/>
  <c r="U12" i="2"/>
  <c r="AG12" i="2"/>
  <c r="AS12" i="2"/>
  <c r="AB19" i="2"/>
  <c r="AP31" i="2"/>
  <c r="T48" i="2"/>
  <c r="AF48" i="2"/>
  <c r="AR48" i="2"/>
  <c r="AT56" i="2"/>
  <c r="AZ59" i="2"/>
  <c r="AO63" i="2"/>
  <c r="AR64" i="2"/>
  <c r="AK65" i="2"/>
  <c r="AW65" i="2"/>
  <c r="AT68" i="2"/>
  <c r="AZ99" i="2"/>
  <c r="AZ105" i="2" s="1"/>
  <c r="AK113" i="2"/>
  <c r="F27" i="5"/>
  <c r="AH127" i="2"/>
  <c r="AH13" i="5" s="1"/>
  <c r="AN117" i="2"/>
  <c r="I27" i="5"/>
  <c r="I114" i="2"/>
  <c r="U27" i="5"/>
  <c r="AQ181" i="2"/>
  <c r="AQ126" i="2"/>
  <c r="AQ127" i="2"/>
  <c r="AQ13" i="5" s="1"/>
  <c r="L127" i="2"/>
  <c r="L13" i="5" s="1"/>
  <c r="M130" i="2"/>
  <c r="AK130" i="2"/>
  <c r="AE314" i="2"/>
  <c r="AE178" i="2"/>
  <c r="AS169" i="2"/>
  <c r="AS14" i="5" s="1"/>
  <c r="T12" i="2"/>
  <c r="D3" i="2"/>
  <c r="D851" i="2" s="1"/>
  <c r="AN11" i="2"/>
  <c r="V12" i="2"/>
  <c r="AH12" i="2"/>
  <c r="AU17" i="2"/>
  <c r="AV18" i="2" s="1"/>
  <c r="AQ31" i="2"/>
  <c r="AP46" i="2"/>
  <c r="AO59" i="2"/>
  <c r="AD64" i="2"/>
  <c r="AS64" i="2"/>
  <c r="AX65" i="2"/>
  <c r="AN70" i="2"/>
  <c r="V91" i="2"/>
  <c r="H26" i="5"/>
  <c r="H104" i="2"/>
  <c r="H107" i="2" s="1"/>
  <c r="H113" i="2"/>
  <c r="H100" i="2"/>
  <c r="T26" i="5"/>
  <c r="T104" i="2"/>
  <c r="T107" i="2" s="1"/>
  <c r="T113" i="2"/>
  <c r="T100" i="2"/>
  <c r="AL26" i="5"/>
  <c r="AL104" i="2"/>
  <c r="AL70" i="2"/>
  <c r="AL105" i="2"/>
  <c r="AL100" i="2"/>
  <c r="AL109" i="2"/>
  <c r="AV100" i="2"/>
  <c r="AU104" i="2"/>
  <c r="AU107" i="2" s="1"/>
  <c r="AQ113" i="2"/>
  <c r="L27" i="5"/>
  <c r="L115" i="2"/>
  <c r="AW127" i="2"/>
  <c r="AW13" i="5" s="1"/>
  <c r="AW181" i="2"/>
  <c r="AX150" i="2"/>
  <c r="AY150" i="2" s="1"/>
  <c r="AX146" i="2"/>
  <c r="AP157" i="2"/>
  <c r="AT171" i="2"/>
  <c r="AT163" i="2"/>
  <c r="AM209" i="2"/>
  <c r="AQ46" i="2"/>
  <c r="AJ68" i="2"/>
  <c r="AS110" i="2"/>
  <c r="K313" i="2"/>
  <c r="W313" i="2"/>
  <c r="AU165" i="2"/>
  <c r="AZ163" i="2"/>
  <c r="AV158" i="2"/>
  <c r="BA157" i="2"/>
  <c r="AP19" i="2"/>
  <c r="AB11" i="2"/>
  <c r="I18" i="2"/>
  <c r="AQ19" i="2"/>
  <c r="AR46" i="2"/>
  <c r="AF47" i="2"/>
  <c r="N55" i="2"/>
  <c r="R64" i="2"/>
  <c r="AG64" i="2"/>
  <c r="AB65" i="2"/>
  <c r="AP70" i="2"/>
  <c r="W26" i="5"/>
  <c r="W100" i="2"/>
  <c r="W113" i="2"/>
  <c r="AN26" i="5"/>
  <c r="AN109" i="2"/>
  <c r="AN113" i="2" s="1"/>
  <c r="AN104" i="2"/>
  <c r="AN107" i="2" s="1"/>
  <c r="AW27" i="5"/>
  <c r="R27" i="5"/>
  <c r="AL122" i="2"/>
  <c r="AX163" i="2"/>
  <c r="AS164" i="2"/>
  <c r="AW314" i="2"/>
  <c r="BB177" i="2"/>
  <c r="BB314" i="2" s="1"/>
  <c r="AW178" i="2"/>
  <c r="AC314" i="2"/>
  <c r="AC178" i="2"/>
  <c r="AO314" i="2"/>
  <c r="AO178" i="2"/>
  <c r="AJ23" i="5"/>
  <c r="AJ231" i="2"/>
  <c r="AJ232" i="2"/>
  <c r="AJ230" i="2"/>
  <c r="AV23" i="5"/>
  <c r="AV231" i="2"/>
  <c r="AV232" i="2"/>
  <c r="AA11" i="2"/>
  <c r="AC11" i="2"/>
  <c r="S64" i="2"/>
  <c r="AH64" i="2"/>
  <c r="AQ70" i="2"/>
  <c r="K26" i="5"/>
  <c r="K113" i="2"/>
  <c r="AI125" i="2"/>
  <c r="AI113" i="2"/>
  <c r="AM122" i="2"/>
  <c r="AM117" i="2"/>
  <c r="AM125" i="2"/>
  <c r="M127" i="2"/>
  <c r="M13" i="5" s="1"/>
  <c r="M126" i="2"/>
  <c r="M113" i="2"/>
  <c r="Y127" i="2"/>
  <c r="Y13" i="5" s="1"/>
  <c r="Y126" i="2"/>
  <c r="U313" i="2"/>
  <c r="AS130" i="2"/>
  <c r="AV165" i="2"/>
  <c r="BA163" i="2"/>
  <c r="AD11" i="2"/>
  <c r="AS11" i="2"/>
  <c r="AL12" i="2"/>
  <c r="AX12" i="2"/>
  <c r="AV31" i="2"/>
  <c r="AY56" i="2"/>
  <c r="AT63" i="2"/>
  <c r="R65" i="2"/>
  <c r="AD65" i="2"/>
  <c r="AY68" i="2"/>
  <c r="K104" i="2"/>
  <c r="K107" i="2" s="1"/>
  <c r="AD27" i="5"/>
  <c r="AN125" i="2"/>
  <c r="AN122" i="2"/>
  <c r="N126" i="2"/>
  <c r="AP127" i="2"/>
  <c r="AP13" i="5" s="1"/>
  <c r="AW130" i="2"/>
  <c r="AU145" i="2"/>
  <c r="AT149" i="2"/>
  <c r="AT155" i="2" s="1"/>
  <c r="AW164" i="2"/>
  <c r="AK314" i="2"/>
  <c r="B2" i="5"/>
  <c r="A5" i="7"/>
  <c r="C3" i="7"/>
  <c r="C4" i="7"/>
  <c r="S10" i="2"/>
  <c r="AE10" i="2"/>
  <c r="AQ10" i="2"/>
  <c r="Q11" i="2"/>
  <c r="AF11" i="2"/>
  <c r="AU11" i="2"/>
  <c r="O12" i="2"/>
  <c r="AA12" i="2"/>
  <c r="AM12" i="2"/>
  <c r="AW31" i="2"/>
  <c r="AZ56" i="2"/>
  <c r="AS80" i="2"/>
  <c r="AS78" i="2"/>
  <c r="AE104" i="2"/>
  <c r="AE135" i="2"/>
  <c r="AE99" i="2"/>
  <c r="AE92" i="2"/>
  <c r="AO136" i="2"/>
  <c r="AO138" i="2" s="1"/>
  <c r="AO146" i="2" s="1"/>
  <c r="AO95" i="2"/>
  <c r="AR26" i="5"/>
  <c r="AR105" i="2"/>
  <c r="AR100" i="2"/>
  <c r="AR109" i="2"/>
  <c r="AR104" i="2"/>
  <c r="AI101" i="2"/>
  <c r="N104" i="2"/>
  <c r="N107" i="2" s="1"/>
  <c r="AP181" i="2"/>
  <c r="AP126" i="2"/>
  <c r="Y130" i="2"/>
  <c r="Q100" i="2"/>
  <c r="AQ101" i="2"/>
  <c r="J104" i="2"/>
  <c r="J107" i="2" s="1"/>
  <c r="AG105" i="2"/>
  <c r="AS105" i="2"/>
  <c r="AV109" i="2"/>
  <c r="AS124" i="2"/>
  <c r="AJ125" i="2"/>
  <c r="AV125" i="2"/>
  <c r="AW126" i="2" s="1"/>
  <c r="Q127" i="2"/>
  <c r="Q13" i="5" s="1"/>
  <c r="AQ138" i="2"/>
  <c r="AQ146" i="2" s="1"/>
  <c r="AM144" i="2"/>
  <c r="AQ168" i="2"/>
  <c r="AD169" i="2"/>
  <c r="AD14" i="5" s="1"/>
  <c r="AP169" i="2"/>
  <c r="AP14" i="5" s="1"/>
  <c r="AR174" i="2"/>
  <c r="AF176" i="2"/>
  <c r="AF177" i="2" s="1"/>
  <c r="AK178" i="2" s="1"/>
  <c r="AR176" i="2"/>
  <c r="AR177" i="2" s="1"/>
  <c r="H182" i="2"/>
  <c r="R183" i="2"/>
  <c r="AD183" i="2"/>
  <c r="AC191" i="2"/>
  <c r="AN201" i="2"/>
  <c r="AU209" i="2"/>
  <c r="AU207" i="2"/>
  <c r="AP218" i="2"/>
  <c r="N23" i="5"/>
  <c r="N230" i="2"/>
  <c r="N232" i="2"/>
  <c r="Z23" i="5"/>
  <c r="Z230" i="2"/>
  <c r="AL23" i="5"/>
  <c r="AL230" i="2"/>
  <c r="H21" i="5"/>
  <c r="H243" i="2"/>
  <c r="H228" i="2"/>
  <c r="H231" i="2" s="1"/>
  <c r="T21" i="5"/>
  <c r="T243" i="2"/>
  <c r="T228" i="2"/>
  <c r="T231" i="2" s="1"/>
  <c r="AF21" i="5"/>
  <c r="AF243" i="2"/>
  <c r="AF228" i="2"/>
  <c r="AF231" i="2"/>
  <c r="AR21" i="5"/>
  <c r="AR243" i="2"/>
  <c r="AR228" i="2"/>
  <c r="AR231" i="2" s="1"/>
  <c r="F23" i="5"/>
  <c r="F229" i="2"/>
  <c r="AQ190" i="2"/>
  <c r="AQ191" i="2" s="1"/>
  <c r="AF245" i="2"/>
  <c r="AF266" i="2"/>
  <c r="AS174" i="2"/>
  <c r="AG176" i="2"/>
  <c r="AG177" i="2" s="1"/>
  <c r="AS176" i="2"/>
  <c r="AS177" i="2" s="1"/>
  <c r="S183" i="2"/>
  <c r="AE183" i="2"/>
  <c r="AS215" i="2"/>
  <c r="AS16" i="5" s="1"/>
  <c r="AH20" i="5"/>
  <c r="AH242" i="2"/>
  <c r="AT20" i="5"/>
  <c r="AT230" i="2"/>
  <c r="AT242" i="2"/>
  <c r="L23" i="5"/>
  <c r="L231" i="2"/>
  <c r="AU239" i="2"/>
  <c r="AU241" i="2"/>
  <c r="N271" i="2"/>
  <c r="AG92" i="2"/>
  <c r="S100" i="2"/>
  <c r="AH100" i="2"/>
  <c r="AW100" i="2"/>
  <c r="AG101" i="2"/>
  <c r="AS101" i="2"/>
  <c r="L104" i="2"/>
  <c r="L107" i="2" s="1"/>
  <c r="AD104" i="2"/>
  <c r="AD107" i="2" s="1"/>
  <c r="AP104" i="2"/>
  <c r="AP107" i="2" s="1"/>
  <c r="AV117" i="2"/>
  <c r="AU122" i="2"/>
  <c r="AL125" i="2"/>
  <c r="AS138" i="2"/>
  <c r="AS146" i="2" s="1"/>
  <c r="AW140" i="2"/>
  <c r="AW141" i="2" s="1"/>
  <c r="AW145" i="2" s="1"/>
  <c r="AO144" i="2"/>
  <c r="AS154" i="2"/>
  <c r="AS157" i="2" s="1"/>
  <c r="AU157" i="2"/>
  <c r="AD168" i="2"/>
  <c r="AS168" i="2"/>
  <c r="AF169" i="2"/>
  <c r="AF14" i="5" s="1"/>
  <c r="AR169" i="2"/>
  <c r="AR14" i="5" s="1"/>
  <c r="Y182" i="2"/>
  <c r="AB185" i="2"/>
  <c r="Q188" i="2"/>
  <c r="Q15" i="5" s="1"/>
  <c r="Q187" i="2"/>
  <c r="AQ188" i="2"/>
  <c r="AQ15" i="5" s="1"/>
  <c r="J187" i="2"/>
  <c r="AF188" i="2"/>
  <c r="AF15" i="5" s="1"/>
  <c r="AC203" i="2"/>
  <c r="AB206" i="2"/>
  <c r="AB204" i="2"/>
  <c r="AN206" i="2"/>
  <c r="AN207" i="2" s="1"/>
  <c r="AN204" i="2"/>
  <c r="AU215" i="2"/>
  <c r="AU16" i="5" s="1"/>
  <c r="D19" i="5"/>
  <c r="D241" i="2"/>
  <c r="D228" i="2"/>
  <c r="P19" i="5"/>
  <c r="P241" i="2"/>
  <c r="P228" i="2"/>
  <c r="P229" i="2"/>
  <c r="AB19" i="5"/>
  <c r="AB241" i="2"/>
  <c r="AB228" i="2"/>
  <c r="AB23" i="5" s="1"/>
  <c r="AB229" i="2"/>
  <c r="AN19" i="5"/>
  <c r="AN241" i="2"/>
  <c r="AN228" i="2"/>
  <c r="AN23" i="5" s="1"/>
  <c r="BA265" i="2"/>
  <c r="AH101" i="2"/>
  <c r="M104" i="2"/>
  <c r="M107" i="2" s="1"/>
  <c r="AQ104" i="2"/>
  <c r="AQ107" i="2" s="1"/>
  <c r="AJ105" i="2"/>
  <c r="AV105" i="2"/>
  <c r="AM109" i="2"/>
  <c r="AM113" i="2" s="1"/>
  <c r="AS111" i="2"/>
  <c r="AA126" i="2"/>
  <c r="D127" i="2"/>
  <c r="D13" i="5" s="1"/>
  <c r="T127" i="2"/>
  <c r="T13" i="5" s="1"/>
  <c r="AP144" i="2"/>
  <c r="AU149" i="2"/>
  <c r="BB163" i="2"/>
  <c r="BB164" i="2" s="1"/>
  <c r="AU168" i="2"/>
  <c r="AG169" i="2"/>
  <c r="AG14" i="5" s="1"/>
  <c r="AU174" i="2"/>
  <c r="AI176" i="2"/>
  <c r="AI177" i="2" s="1"/>
  <c r="AU176" i="2"/>
  <c r="L182" i="2"/>
  <c r="AA182" i="2"/>
  <c r="H185" i="2"/>
  <c r="AC185" i="2"/>
  <c r="F188" i="2"/>
  <c r="F15" i="5" s="1"/>
  <c r="E188" i="2"/>
  <c r="E15" i="5" s="1"/>
  <c r="AE188" i="2"/>
  <c r="AE15" i="5" s="1"/>
  <c r="AJ209" i="2"/>
  <c r="AI215" i="2"/>
  <c r="AI16" i="5" s="1"/>
  <c r="X20" i="5"/>
  <c r="X242" i="2"/>
  <c r="AJ20" i="5"/>
  <c r="AJ242" i="2"/>
  <c r="AV20" i="5"/>
  <c r="AV242" i="2"/>
  <c r="K21" i="5"/>
  <c r="K186" i="2"/>
  <c r="K231" i="2"/>
  <c r="K243" i="2"/>
  <c r="W21" i="5"/>
  <c r="W186" i="2"/>
  <c r="W231" i="2"/>
  <c r="W243" i="2"/>
  <c r="AI21" i="5"/>
  <c r="AI186" i="2"/>
  <c r="AN188" i="2" s="1"/>
  <c r="AN15" i="5" s="1"/>
  <c r="AI231" i="2"/>
  <c r="AI243" i="2"/>
  <c r="AU21" i="5"/>
  <c r="AU186" i="2"/>
  <c r="AU231" i="2"/>
  <c r="AU243" i="2"/>
  <c r="R23" i="5"/>
  <c r="R229" i="2"/>
  <c r="AV230" i="2"/>
  <c r="F232" i="2"/>
  <c r="AB126" i="2"/>
  <c r="U127" i="2"/>
  <c r="U13" i="5" s="1"/>
  <c r="AY136" i="2"/>
  <c r="AY140" i="2"/>
  <c r="AS153" i="2"/>
  <c r="AV168" i="2"/>
  <c r="M182" i="2"/>
  <c r="AB182" i="2"/>
  <c r="I185" i="2"/>
  <c r="AS187" i="2"/>
  <c r="AS188" i="2"/>
  <c r="AS15" i="5" s="1"/>
  <c r="AL188" i="2"/>
  <c r="AL15" i="5" s="1"/>
  <c r="AG22" i="5"/>
  <c r="AG244" i="2"/>
  <c r="AS22" i="5"/>
  <c r="AS244" i="2"/>
  <c r="X23" i="5"/>
  <c r="X231" i="2"/>
  <c r="L232" i="2"/>
  <c r="R276" i="2"/>
  <c r="W91" i="2"/>
  <c r="X92" i="2"/>
  <c r="AJ92" i="2"/>
  <c r="X99" i="2"/>
  <c r="AJ99" i="2"/>
  <c r="AV101" i="2"/>
  <c r="O104" i="2"/>
  <c r="O107" i="2" s="1"/>
  <c r="AG104" i="2"/>
  <c r="AG107" i="2" s="1"/>
  <c r="AS104" i="2"/>
  <c r="AS107" i="2" s="1"/>
  <c r="P113" i="2"/>
  <c r="AB113" i="2"/>
  <c r="AO125" i="2"/>
  <c r="F127" i="2"/>
  <c r="F13" i="5" s="1"/>
  <c r="V127" i="2"/>
  <c r="V13" i="5" s="1"/>
  <c r="AW149" i="2"/>
  <c r="AS152" i="2"/>
  <c r="AL157" i="2"/>
  <c r="AQ158" i="2" s="1"/>
  <c r="AW168" i="2"/>
  <c r="AI169" i="2"/>
  <c r="AI14" i="5" s="1"/>
  <c r="N182" i="2"/>
  <c r="AC182" i="2"/>
  <c r="J185" i="2"/>
  <c r="AG188" i="2"/>
  <c r="AG15" i="5" s="1"/>
  <c r="AT188" i="2"/>
  <c r="AT15" i="5" s="1"/>
  <c r="R187" i="2"/>
  <c r="AO191" i="2"/>
  <c r="AS201" i="2"/>
  <c r="AO207" i="2"/>
  <c r="AO209" i="2"/>
  <c r="AG204" i="2"/>
  <c r="AQ206" i="2"/>
  <c r="AQ204" i="2"/>
  <c r="AT204" i="2" s="1"/>
  <c r="AP209" i="2"/>
  <c r="G19" i="5"/>
  <c r="G799" i="2"/>
  <c r="G228" i="2"/>
  <c r="G229" i="2"/>
  <c r="G241" i="2"/>
  <c r="S19" i="5"/>
  <c r="S799" i="2"/>
  <c r="S228" i="2"/>
  <c r="S229" i="2" s="1"/>
  <c r="S241" i="2"/>
  <c r="AE19" i="5"/>
  <c r="AE799" i="2"/>
  <c r="AE228" i="2"/>
  <c r="AE23" i="5" s="1"/>
  <c r="AE229" i="2"/>
  <c r="AE241" i="2"/>
  <c r="AQ19" i="5"/>
  <c r="AQ799" i="2"/>
  <c r="AQ228" i="2"/>
  <c r="AQ229" i="2"/>
  <c r="AQ241" i="2"/>
  <c r="AD23" i="5"/>
  <c r="AD229" i="2"/>
  <c r="R232" i="2"/>
  <c r="AR239" i="2"/>
  <c r="AR242" i="2"/>
  <c r="AE190" i="2"/>
  <c r="AE191" i="2" s="1"/>
  <c r="AF249" i="2"/>
  <c r="AL271" i="2"/>
  <c r="X91" i="2"/>
  <c r="Y92" i="2"/>
  <c r="Y99" i="2"/>
  <c r="Y113" i="2" s="1"/>
  <c r="I100" i="2"/>
  <c r="AM100" i="2"/>
  <c r="AK101" i="2"/>
  <c r="AW101" i="2"/>
  <c r="AH104" i="2"/>
  <c r="AH107" i="2" s="1"/>
  <c r="AM105" i="2"/>
  <c r="AP109" i="2"/>
  <c r="AQ110" i="2" s="1"/>
  <c r="Q113" i="2"/>
  <c r="AC113" i="2"/>
  <c r="W127" i="2"/>
  <c r="W13" i="5" s="1"/>
  <c r="X135" i="2"/>
  <c r="X138" i="2" s="1"/>
  <c r="AJ135" i="2"/>
  <c r="AJ138" i="2" s="1"/>
  <c r="AK138" i="2"/>
  <c r="AK146" i="2" s="1"/>
  <c r="AM157" i="2"/>
  <c r="AR158" i="2" s="1"/>
  <c r="AL176" i="2"/>
  <c r="AL177" i="2" s="1"/>
  <c r="AQ178" i="2" s="1"/>
  <c r="AD182" i="2"/>
  <c r="L183" i="2"/>
  <c r="X183" i="2"/>
  <c r="M185" i="2"/>
  <c r="U188" i="2"/>
  <c r="U15" i="5" s="1"/>
  <c r="AM188" i="2"/>
  <c r="AM15" i="5" s="1"/>
  <c r="AH187" i="2"/>
  <c r="AH188" i="2"/>
  <c r="AH15" i="5" s="1"/>
  <c r="Q191" i="2"/>
  <c r="AG206" i="2"/>
  <c r="AL215" i="2"/>
  <c r="AL16" i="5" s="1"/>
  <c r="N21" i="5"/>
  <c r="N231" i="2"/>
  <c r="N243" i="2"/>
  <c r="Z21" i="5"/>
  <c r="Z231" i="2"/>
  <c r="Z243" i="2"/>
  <c r="AL21" i="5"/>
  <c r="AL231" i="2"/>
  <c r="AL243" i="2"/>
  <c r="X232" i="2"/>
  <c r="H245" i="2"/>
  <c r="H246" i="2" s="1"/>
  <c r="Z271" i="2"/>
  <c r="AA176" i="2"/>
  <c r="AA177" i="2" s="1"/>
  <c r="AA314" i="2" s="1"/>
  <c r="AM176" i="2"/>
  <c r="AM177" i="2" s="1"/>
  <c r="Y183" i="2"/>
  <c r="V187" i="2"/>
  <c r="AA188" i="2"/>
  <c r="AA15" i="5" s="1"/>
  <c r="V188" i="2"/>
  <c r="V15" i="5" s="1"/>
  <c r="AH206" i="2"/>
  <c r="AM207" i="2" s="1"/>
  <c r="AH204" i="2"/>
  <c r="AI209" i="2"/>
  <c r="AI207" i="2"/>
  <c r="AB20" i="5"/>
  <c r="AB230" i="2"/>
  <c r="AB242" i="2"/>
  <c r="AN20" i="5"/>
  <c r="AN230" i="2"/>
  <c r="AN242" i="2"/>
  <c r="AP23" i="5"/>
  <c r="AP229" i="2"/>
  <c r="AA266" i="2"/>
  <c r="AA91" i="2"/>
  <c r="AA92" i="2"/>
  <c r="AY92" i="2"/>
  <c r="AT95" i="2"/>
  <c r="AA99" i="2"/>
  <c r="AY99" i="2"/>
  <c r="AY105" i="2" s="1"/>
  <c r="L100" i="2"/>
  <c r="AP100" i="2"/>
  <c r="AM101" i="2"/>
  <c r="F104" i="2"/>
  <c r="F107" i="2" s="1"/>
  <c r="R104" i="2"/>
  <c r="R107" i="2" s="1"/>
  <c r="AV104" i="2"/>
  <c r="AV107" i="2" s="1"/>
  <c r="AC105" i="2"/>
  <c r="AC107" i="2" s="1"/>
  <c r="AF125" i="2"/>
  <c r="AK127" i="2" s="1"/>
  <c r="AK13" i="5" s="1"/>
  <c r="AR125" i="2"/>
  <c r="AE136" i="2"/>
  <c r="AM149" i="2"/>
  <c r="AH167" i="2"/>
  <c r="AI168" i="2" s="1"/>
  <c r="AT167" i="2"/>
  <c r="AL168" i="2"/>
  <c r="R182" i="2"/>
  <c r="P185" i="2"/>
  <c r="AK187" i="2"/>
  <c r="AD218" i="2"/>
  <c r="J19" i="5"/>
  <c r="J228" i="2"/>
  <c r="J229" i="2" s="1"/>
  <c r="J241" i="2"/>
  <c r="V19" i="5"/>
  <c r="V799" i="2"/>
  <c r="V228" i="2"/>
  <c r="V229" i="2"/>
  <c r="V241" i="2"/>
  <c r="AH19" i="5"/>
  <c r="AH799" i="2"/>
  <c r="AH228" i="2"/>
  <c r="AH23" i="5" s="1"/>
  <c r="AH241" i="2"/>
  <c r="AT19" i="5"/>
  <c r="AT799" i="2"/>
  <c r="AT228" i="2"/>
  <c r="AT23" i="5" s="1"/>
  <c r="AT229" i="2"/>
  <c r="AT241" i="2"/>
  <c r="D21" i="5"/>
  <c r="D243" i="2"/>
  <c r="F230" i="2"/>
  <c r="N248" i="2"/>
  <c r="AD276" i="2"/>
  <c r="N127" i="2"/>
  <c r="N13" i="5" s="1"/>
  <c r="Z127" i="2"/>
  <c r="Z13" i="5" s="1"/>
  <c r="AY135" i="2"/>
  <c r="AY138" i="2" s="1"/>
  <c r="AN149" i="2"/>
  <c r="AM168" i="2"/>
  <c r="S182" i="2"/>
  <c r="AC187" i="2"/>
  <c r="AO196" i="2"/>
  <c r="AT196" i="2"/>
  <c r="AS204" i="2"/>
  <c r="K23" i="5"/>
  <c r="K229" i="2"/>
  <c r="K233" i="2" s="1"/>
  <c r="K230" i="2"/>
  <c r="K232" i="2"/>
  <c r="W23" i="5"/>
  <c r="W229" i="2"/>
  <c r="W230" i="2"/>
  <c r="W232" i="2"/>
  <c r="AI23" i="5"/>
  <c r="AI229" i="2"/>
  <c r="AU23" i="5"/>
  <c r="AU229" i="2"/>
  <c r="Z217" i="2"/>
  <c r="Z218" i="2" s="1"/>
  <c r="Z316" i="2" s="1"/>
  <c r="L230" i="2"/>
  <c r="AP232" i="2"/>
  <c r="T245" i="2"/>
  <c r="T246" i="2" s="1"/>
  <c r="AC91" i="2"/>
  <c r="AO92" i="2"/>
  <c r="E99" i="2"/>
  <c r="AO99" i="2"/>
  <c r="AO105" i="2" s="1"/>
  <c r="AC100" i="2"/>
  <c r="AC101" i="2"/>
  <c r="AQ105" i="2"/>
  <c r="AH109" i="2"/>
  <c r="AR117" i="2"/>
  <c r="AT146" i="2"/>
  <c r="AP149" i="2"/>
  <c r="AP176" i="2"/>
  <c r="AP177" i="2" s="1"/>
  <c r="T182" i="2"/>
  <c r="M188" i="2"/>
  <c r="M15" i="5" s="1"/>
  <c r="AM187" i="2"/>
  <c r="AG187" i="2"/>
  <c r="AV207" i="2"/>
  <c r="AN209" i="2"/>
  <c r="L19" i="5"/>
  <c r="L799" i="2"/>
  <c r="L229" i="2"/>
  <c r="L233" i="2" s="1"/>
  <c r="L241" i="2"/>
  <c r="X19" i="5"/>
  <c r="X799" i="2"/>
  <c r="X229" i="2"/>
  <c r="X233" i="2" s="1"/>
  <c r="X241" i="2"/>
  <c r="AJ19" i="5"/>
  <c r="AJ799" i="2"/>
  <c r="AJ229" i="2"/>
  <c r="AJ233" i="2" s="1"/>
  <c r="AJ241" i="2"/>
  <c r="AV19" i="5"/>
  <c r="AV799" i="2"/>
  <c r="AV229" i="2"/>
  <c r="AV241" i="2"/>
  <c r="AE20" i="5"/>
  <c r="AE230" i="2"/>
  <c r="AE242" i="2"/>
  <c r="AQ20" i="5"/>
  <c r="AQ230" i="2"/>
  <c r="AQ242" i="2"/>
  <c r="AA22" i="5"/>
  <c r="AA244" i="2"/>
  <c r="AA232" i="2"/>
  <c r="AA228" i="2"/>
  <c r="AM22" i="5"/>
  <c r="AM244" i="2"/>
  <c r="AM228" i="2"/>
  <c r="W245" i="2"/>
  <c r="W246" i="2" s="1"/>
  <c r="O100" i="2"/>
  <c r="AD100" i="2"/>
  <c r="AS100" i="2"/>
  <c r="AD101" i="2"/>
  <c r="AP101" i="2"/>
  <c r="I104" i="2"/>
  <c r="I107" i="2" s="1"/>
  <c r="U104" i="2"/>
  <c r="U107" i="2" s="1"/>
  <c r="AM104" i="2"/>
  <c r="AM107" i="2" s="1"/>
  <c r="J113" i="2"/>
  <c r="U185" i="2"/>
  <c r="AO198" i="2"/>
  <c r="AL203" i="2"/>
  <c r="AX203" i="2"/>
  <c r="AX205" i="2" s="1"/>
  <c r="AR215" i="2"/>
  <c r="AR16" i="5" s="1"/>
  <c r="Y245" i="2"/>
  <c r="Y246" i="2" s="1"/>
  <c r="X230" i="2"/>
  <c r="C19" i="5"/>
  <c r="C799" i="2"/>
  <c r="O19" i="5"/>
  <c r="O799" i="2"/>
  <c r="AA19" i="5"/>
  <c r="AA799" i="2"/>
  <c r="AM19" i="5"/>
  <c r="AM799" i="2"/>
  <c r="N229" i="2"/>
  <c r="Z229" i="2"/>
  <c r="AL229" i="2"/>
  <c r="AC230" i="2"/>
  <c r="AI232" i="2"/>
  <c r="AU232" i="2"/>
  <c r="J243" i="2"/>
  <c r="V243" i="2"/>
  <c r="AH243" i="2"/>
  <c r="AT243" i="2"/>
  <c r="AI244" i="2"/>
  <c r="AU244" i="2"/>
  <c r="N245" i="2"/>
  <c r="N246" i="2" s="1"/>
  <c r="Z245" i="2"/>
  <c r="Z246" i="2" s="1"/>
  <c r="AL245" i="2"/>
  <c r="AL246" i="2" s="1"/>
  <c r="H248" i="2"/>
  <c r="T248" i="2"/>
  <c r="AF248" i="2"/>
  <c r="S269" i="2"/>
  <c r="S270" i="2"/>
  <c r="S271" i="2" s="1"/>
  <c r="AE269" i="2"/>
  <c r="AE270" i="2"/>
  <c r="AE271" i="2" s="1"/>
  <c r="AQ269" i="2"/>
  <c r="AQ270" i="2"/>
  <c r="AQ271" i="2" s="1"/>
  <c r="F270" i="2"/>
  <c r="F271" i="2" s="1"/>
  <c r="AJ244" i="2"/>
  <c r="AV244" i="2"/>
  <c r="O274" i="2"/>
  <c r="T269" i="2"/>
  <c r="T270" i="2"/>
  <c r="AF269" i="2"/>
  <c r="AF270" i="2"/>
  <c r="AF271" i="2" s="1"/>
  <c r="AR269" i="2"/>
  <c r="AR270" i="2"/>
  <c r="BB586" i="2"/>
  <c r="L187" i="2"/>
  <c r="AP187" i="2"/>
  <c r="AK203" i="2"/>
  <c r="AK206" i="2" s="1"/>
  <c r="AW203" i="2"/>
  <c r="AW206" i="2" s="1"/>
  <c r="E19" i="5"/>
  <c r="E799" i="2"/>
  <c r="Q19" i="5"/>
  <c r="Q799" i="2"/>
  <c r="AC19" i="5"/>
  <c r="AC799" i="2"/>
  <c r="AO19" i="5"/>
  <c r="AO799" i="2"/>
  <c r="M228" i="2"/>
  <c r="Y228" i="2"/>
  <c r="Y23" i="5" s="1"/>
  <c r="AK228" i="2"/>
  <c r="AK23" i="5" s="1"/>
  <c r="AW228" i="2"/>
  <c r="AW23" i="5" s="1"/>
  <c r="J231" i="2"/>
  <c r="V231" i="2"/>
  <c r="AT231" i="2"/>
  <c r="Y232" i="2"/>
  <c r="AG242" i="2"/>
  <c r="AG245" i="2" s="1"/>
  <c r="AS242" i="2"/>
  <c r="L243" i="2"/>
  <c r="X243" i="2"/>
  <c r="AJ243" i="2"/>
  <c r="AV243" i="2"/>
  <c r="AK244" i="2"/>
  <c r="AW244" i="2"/>
  <c r="S264" i="2"/>
  <c r="S265" i="2"/>
  <c r="X266" i="2" s="1"/>
  <c r="AE264" i="2"/>
  <c r="AE265" i="2"/>
  <c r="AE266" i="2" s="1"/>
  <c r="AQ264" i="2"/>
  <c r="AQ265" i="2"/>
  <c r="AN212" i="2"/>
  <c r="AC214" i="2"/>
  <c r="AH215" i="2" s="1"/>
  <c r="AH16" i="5" s="1"/>
  <c r="F19" i="5"/>
  <c r="F799" i="2"/>
  <c r="R19" i="5"/>
  <c r="R799" i="2"/>
  <c r="AD19" i="5"/>
  <c r="AD799" i="2"/>
  <c r="AP19" i="5"/>
  <c r="AP799" i="2"/>
  <c r="AC229" i="2"/>
  <c r="AO229" i="2"/>
  <c r="AR230" i="2"/>
  <c r="Z232" i="2"/>
  <c r="AL232" i="2"/>
  <c r="M243" i="2"/>
  <c r="M245" i="2" s="1"/>
  <c r="Y243" i="2"/>
  <c r="AK243" i="2"/>
  <c r="AW243" i="2"/>
  <c r="AL244" i="2"/>
  <c r="W248" i="2"/>
  <c r="R259" i="2"/>
  <c r="AJ265" i="2"/>
  <c r="V269" i="2"/>
  <c r="V270" i="2"/>
  <c r="V271" i="2" s="1"/>
  <c r="AH269" i="2"/>
  <c r="AH270" i="2"/>
  <c r="AH271" i="2" s="1"/>
  <c r="AT269" i="2"/>
  <c r="AT270" i="2"/>
  <c r="L270" i="2"/>
  <c r="L271" i="2" s="1"/>
  <c r="AV270" i="2"/>
  <c r="P292" i="2"/>
  <c r="P395" i="2" s="1"/>
  <c r="F356" i="2"/>
  <c r="F358" i="2"/>
  <c r="C232" i="2"/>
  <c r="O232" i="2"/>
  <c r="AE239" i="2"/>
  <c r="AU242" i="2"/>
  <c r="U274" i="2"/>
  <c r="U259" i="2"/>
  <c r="AP259" i="2"/>
  <c r="AK266" i="2"/>
  <c r="O352" i="2"/>
  <c r="O354" i="2" s="1"/>
  <c r="AD187" i="2"/>
  <c r="H19" i="5"/>
  <c r="H799" i="2"/>
  <c r="T19" i="5"/>
  <c r="T799" i="2"/>
  <c r="AF19" i="5"/>
  <c r="AF799" i="2"/>
  <c r="AR19" i="5"/>
  <c r="AR799" i="2"/>
  <c r="Y22" i="5"/>
  <c r="Y80" i="7"/>
  <c r="Y231" i="2"/>
  <c r="AK231" i="2"/>
  <c r="AB232" i="2"/>
  <c r="AN232" i="2"/>
  <c r="O243" i="2"/>
  <c r="AA243" i="2"/>
  <c r="AM243" i="2"/>
  <c r="AB244" i="2"/>
  <c r="AN244" i="2"/>
  <c r="AO265" i="2"/>
  <c r="AO266" i="2" s="1"/>
  <c r="AO270" i="2"/>
  <c r="AO271" i="2" s="1"/>
  <c r="V274" i="2"/>
  <c r="O259" i="2"/>
  <c r="J265" i="2"/>
  <c r="V265" i="2"/>
  <c r="AH265" i="2"/>
  <c r="AH266" i="2" s="1"/>
  <c r="AT265" i="2"/>
  <c r="AT266" i="2" s="1"/>
  <c r="L269" i="2"/>
  <c r="X269" i="2"/>
  <c r="AJ269" i="2"/>
  <c r="AV269" i="2"/>
  <c r="AJ276" i="2"/>
  <c r="AT352" i="2"/>
  <c r="AT354" i="2" s="1"/>
  <c r="R356" i="2"/>
  <c r="R358" i="2"/>
  <c r="AK188" i="2"/>
  <c r="AK15" i="5" s="1"/>
  <c r="AF204" i="2"/>
  <c r="AJ204" i="2" s="1"/>
  <c r="AR204" i="2"/>
  <c r="AF206" i="2"/>
  <c r="AR206" i="2"/>
  <c r="I19" i="5"/>
  <c r="U19" i="5"/>
  <c r="AG19" i="5"/>
  <c r="AG799" i="2"/>
  <c r="AS19" i="5"/>
  <c r="Z22" i="5"/>
  <c r="E228" i="2"/>
  <c r="E229" i="2" s="1"/>
  <c r="Q228" i="2"/>
  <c r="Q229" i="2" s="1"/>
  <c r="AC228" i="2"/>
  <c r="AO228" i="2"/>
  <c r="H229" i="2"/>
  <c r="T229" i="2"/>
  <c r="AR229" i="2"/>
  <c r="AI230" i="2"/>
  <c r="AU230" i="2"/>
  <c r="Y242" i="2"/>
  <c r="AK242" i="2"/>
  <c r="AW242" i="2"/>
  <c r="P243" i="2"/>
  <c r="AB243" i="2"/>
  <c r="AN243" i="2"/>
  <c r="AC244" i="2"/>
  <c r="AO244" i="2"/>
  <c r="E265" i="2"/>
  <c r="E266" i="2" s="1"/>
  <c r="E270" i="2"/>
  <c r="E271" i="2" s="1"/>
  <c r="Q265" i="2"/>
  <c r="Q266" i="2" s="1"/>
  <c r="Q270" i="2"/>
  <c r="AC265" i="2"/>
  <c r="AC266" i="2" s="1"/>
  <c r="AC270" i="2"/>
  <c r="M265" i="2"/>
  <c r="M266" i="2" s="1"/>
  <c r="AP266" i="2"/>
  <c r="M269" i="2"/>
  <c r="M270" i="2"/>
  <c r="M271" i="2" s="1"/>
  <c r="Y269" i="2"/>
  <c r="Y270" i="2"/>
  <c r="Y271" i="2" s="1"/>
  <c r="AK269" i="2"/>
  <c r="AK270" i="2"/>
  <c r="AP271" i="2" s="1"/>
  <c r="AW269" i="2"/>
  <c r="AW270" i="2"/>
  <c r="AP274" i="2"/>
  <c r="AA352" i="2"/>
  <c r="AA354" i="2" s="1"/>
  <c r="AA258" i="2"/>
  <c r="AA274" i="2"/>
  <c r="AT276" i="2"/>
  <c r="O266" i="2"/>
  <c r="X270" i="2"/>
  <c r="X271" i="2" s="1"/>
  <c r="AR274" i="2"/>
  <c r="AS292" i="2"/>
  <c r="AS395" i="2" s="1"/>
  <c r="V352" i="2"/>
  <c r="V354" i="2" s="1"/>
  <c r="K19" i="5"/>
  <c r="K799" i="2"/>
  <c r="W19" i="5"/>
  <c r="AI19" i="5"/>
  <c r="AU19" i="5"/>
  <c r="Y230" i="2"/>
  <c r="AK230" i="2"/>
  <c r="P231" i="2"/>
  <c r="AB231" i="2"/>
  <c r="AN231" i="2"/>
  <c r="C241" i="2"/>
  <c r="O241" i="2"/>
  <c r="AA241" i="2"/>
  <c r="AM241" i="2"/>
  <c r="AA242" i="2"/>
  <c r="AM242" i="2"/>
  <c r="F243" i="2"/>
  <c r="R243" i="2"/>
  <c r="AD243" i="2"/>
  <c r="AP243" i="2"/>
  <c r="AE244" i="2"/>
  <c r="AQ244" i="2"/>
  <c r="AF251" i="2"/>
  <c r="C270" i="2"/>
  <c r="D271" i="2" s="1"/>
  <c r="O270" i="2"/>
  <c r="O271" i="2" s="1"/>
  <c r="AA270" i="2"/>
  <c r="AA271" i="2" s="1"/>
  <c r="AM270" i="2"/>
  <c r="AM271" i="2" s="1"/>
  <c r="AA269" i="2"/>
  <c r="AV276" i="2"/>
  <c r="AD259" i="2"/>
  <c r="N264" i="2"/>
  <c r="N265" i="2"/>
  <c r="N266" i="2" s="1"/>
  <c r="Z264" i="2"/>
  <c r="Z265" i="2"/>
  <c r="Z266" i="2" s="1"/>
  <c r="AL264" i="2"/>
  <c r="AL265" i="2"/>
  <c r="AL266" i="2" s="1"/>
  <c r="AW266" i="2"/>
  <c r="F276" i="2"/>
  <c r="BD292" i="2"/>
  <c r="AP356" i="2"/>
  <c r="AP358" i="2"/>
  <c r="AV204" i="2"/>
  <c r="M19" i="5"/>
  <c r="M799" i="2"/>
  <c r="Y19" i="5"/>
  <c r="Y799" i="2"/>
  <c r="AK19" i="5"/>
  <c r="AK799" i="2"/>
  <c r="AW19" i="5"/>
  <c r="AW799" i="2"/>
  <c r="I228" i="2"/>
  <c r="U228" i="2"/>
  <c r="AG228" i="2"/>
  <c r="AG232" i="2" s="1"/>
  <c r="AS228" i="2"/>
  <c r="C230" i="2"/>
  <c r="C233" i="2" s="1"/>
  <c r="O230" i="2"/>
  <c r="O233" i="2" s="1"/>
  <c r="AA230" i="2"/>
  <c r="F231" i="2"/>
  <c r="R231" i="2"/>
  <c r="AD231" i="2"/>
  <c r="AP231" i="2"/>
  <c r="E241" i="2"/>
  <c r="Q241" i="2"/>
  <c r="AC241" i="2"/>
  <c r="AO241" i="2"/>
  <c r="AC242" i="2"/>
  <c r="AO242" i="2"/>
  <c r="F259" i="2"/>
  <c r="AG274" i="2"/>
  <c r="AG259" i="2"/>
  <c r="AA259" i="2"/>
  <c r="AA261" i="2" s="1"/>
  <c r="AD269" i="2"/>
  <c r="N19" i="5"/>
  <c r="Z19" i="5"/>
  <c r="Z799" i="2"/>
  <c r="AL19" i="5"/>
  <c r="M229" i="2"/>
  <c r="Y229" i="2"/>
  <c r="AK229" i="2"/>
  <c r="G231" i="2"/>
  <c r="S231" i="2"/>
  <c r="AQ231" i="2"/>
  <c r="AT232" i="2"/>
  <c r="F241" i="2"/>
  <c r="R241" i="2"/>
  <c r="AD241" i="2"/>
  <c r="AP241" i="2"/>
  <c r="AD242" i="2"/>
  <c r="AP242" i="2"/>
  <c r="I243" i="2"/>
  <c r="U243" i="2"/>
  <c r="AG243" i="2"/>
  <c r="AS243" i="2"/>
  <c r="AH244" i="2"/>
  <c r="AT244" i="2"/>
  <c r="AZ270" i="2"/>
  <c r="AU271" i="2"/>
  <c r="I274" i="2"/>
  <c r="I259" i="2"/>
  <c r="AH274" i="2"/>
  <c r="D265" i="2"/>
  <c r="D266" i="2" s="1"/>
  <c r="D264" i="2"/>
  <c r="P264" i="2"/>
  <c r="P265" i="2"/>
  <c r="AB264" i="2"/>
  <c r="AB265" i="2"/>
  <c r="AB266" i="2" s="1"/>
  <c r="AN264" i="2"/>
  <c r="AN265" i="2"/>
  <c r="Y265" i="2"/>
  <c r="Y266" i="2" s="1"/>
  <c r="BB265" i="2"/>
  <c r="K265" i="2"/>
  <c r="K266" i="2" s="1"/>
  <c r="W265" i="2"/>
  <c r="W266" i="2" s="1"/>
  <c r="AU265" i="2"/>
  <c r="E312" i="2"/>
  <c r="E317" i="2" s="1"/>
  <c r="H321" i="2"/>
  <c r="J343" i="2"/>
  <c r="N381" i="2"/>
  <c r="O675" i="2" s="1"/>
  <c r="N343" i="2"/>
  <c r="Z381" i="2"/>
  <c r="Z327" i="2" s="1"/>
  <c r="Z343" i="2"/>
  <c r="AL381" i="2"/>
  <c r="AL343" i="2"/>
  <c r="AQ53" i="5"/>
  <c r="X343" i="2"/>
  <c r="Q54" i="5"/>
  <c r="O30" i="5"/>
  <c r="O680" i="2"/>
  <c r="O681" i="2"/>
  <c r="O385" i="2"/>
  <c r="O390" i="2" s="1"/>
  <c r="AA30" i="5"/>
  <c r="AA680" i="2"/>
  <c r="AA688" i="2" s="1"/>
  <c r="AA675" i="2"/>
  <c r="AA683" i="2" s="1"/>
  <c r="AA385" i="2"/>
  <c r="AA390" i="2" s="1"/>
  <c r="AA798" i="2" s="1"/>
  <c r="AM30" i="5"/>
  <c r="AM385" i="2"/>
  <c r="AM390" i="2" s="1"/>
  <c r="C30" i="5"/>
  <c r="C677" i="2"/>
  <c r="C679" i="2"/>
  <c r="C681" i="2"/>
  <c r="C676" i="2"/>
  <c r="C678" i="2"/>
  <c r="C680" i="2"/>
  <c r="C675" i="2"/>
  <c r="C385" i="2"/>
  <c r="C390" i="2" s="1"/>
  <c r="P381" i="2"/>
  <c r="P343" i="2"/>
  <c r="AB381" i="2"/>
  <c r="AB799" i="2" s="1"/>
  <c r="AB343" i="2"/>
  <c r="AN381" i="2"/>
  <c r="AN327" i="2" s="1"/>
  <c r="H312" i="2"/>
  <c r="H317" i="2" s="1"/>
  <c r="AR312" i="2"/>
  <c r="AR317" i="2" s="1"/>
  <c r="H320" i="2"/>
  <c r="H805" i="2" s="1"/>
  <c r="AS337" i="2"/>
  <c r="D381" i="2"/>
  <c r="D799" i="2" s="1"/>
  <c r="D343" i="2"/>
  <c r="Q30" i="5"/>
  <c r="Q53" i="5" s="1"/>
  <c r="Q680" i="2"/>
  <c r="Q675" i="2"/>
  <c r="Q677" i="2"/>
  <c r="Q681" i="2"/>
  <c r="Q676" i="2"/>
  <c r="Q678" i="2"/>
  <c r="Q686" i="2" s="1"/>
  <c r="Q385" i="2"/>
  <c r="Q390" i="2" s="1"/>
  <c r="AC30" i="5"/>
  <c r="AC54" i="5" s="1"/>
  <c r="AC680" i="2"/>
  <c r="AC675" i="2"/>
  <c r="AC677" i="2"/>
  <c r="AC679" i="2"/>
  <c r="AC681" i="2"/>
  <c r="AC676" i="2"/>
  <c r="AC678" i="2"/>
  <c r="AC385" i="2"/>
  <c r="AC390" i="2" s="1"/>
  <c r="AO30" i="5"/>
  <c r="AO680" i="2"/>
  <c r="AO688" i="2" s="1"/>
  <c r="AO675" i="2"/>
  <c r="AO677" i="2"/>
  <c r="AO679" i="2"/>
  <c r="AO681" i="2"/>
  <c r="AO676" i="2"/>
  <c r="AO678" i="2"/>
  <c r="AO385" i="2"/>
  <c r="AO390" i="2" s="1"/>
  <c r="G53" i="5"/>
  <c r="AT53" i="5"/>
  <c r="AF343" i="2"/>
  <c r="AS347" i="2"/>
  <c r="AS388" i="2"/>
  <c r="E30" i="5"/>
  <c r="E54" i="5" s="1"/>
  <c r="E679" i="2"/>
  <c r="E681" i="2"/>
  <c r="E676" i="2"/>
  <c r="E678" i="2"/>
  <c r="E680" i="2"/>
  <c r="E675" i="2"/>
  <c r="E677" i="2"/>
  <c r="E385" i="2"/>
  <c r="E390" i="2" s="1"/>
  <c r="R30" i="5"/>
  <c r="R53" i="5" s="1"/>
  <c r="R676" i="2"/>
  <c r="R678" i="2"/>
  <c r="R680" i="2"/>
  <c r="R675" i="2"/>
  <c r="R385" i="2"/>
  <c r="R390" i="2" s="1"/>
  <c r="AD30" i="5"/>
  <c r="AD681" i="2"/>
  <c r="AD676" i="2"/>
  <c r="AD678" i="2"/>
  <c r="AD680" i="2"/>
  <c r="AD675" i="2"/>
  <c r="AD677" i="2"/>
  <c r="AD385" i="2"/>
  <c r="AD390" i="2" s="1"/>
  <c r="AD798" i="2" s="1"/>
  <c r="AP30" i="5"/>
  <c r="AP681" i="2"/>
  <c r="AP676" i="2"/>
  <c r="AP678" i="2"/>
  <c r="AP675" i="2"/>
  <c r="AP677" i="2"/>
  <c r="AP385" i="2"/>
  <c r="AP390" i="2" s="1"/>
  <c r="AJ348" i="2"/>
  <c r="P309" i="2"/>
  <c r="P310" i="2" s="1"/>
  <c r="F30" i="5"/>
  <c r="F53" i="5" s="1"/>
  <c r="F681" i="2"/>
  <c r="F676" i="2"/>
  <c r="F684" i="2" s="1"/>
  <c r="F678" i="2"/>
  <c r="F680" i="2"/>
  <c r="F675" i="2"/>
  <c r="F677" i="2"/>
  <c r="F685" i="2" s="1"/>
  <c r="F679" i="2"/>
  <c r="F385" i="2"/>
  <c r="F390" i="2" s="1"/>
  <c r="S30" i="5"/>
  <c r="S677" i="2"/>
  <c r="S679" i="2"/>
  <c r="S681" i="2"/>
  <c r="S676" i="2"/>
  <c r="S678" i="2"/>
  <c r="S680" i="2"/>
  <c r="S675" i="2"/>
  <c r="S385" i="2"/>
  <c r="S390" i="2" s="1"/>
  <c r="AE30" i="5"/>
  <c r="AE677" i="2"/>
  <c r="AE679" i="2"/>
  <c r="AE681" i="2"/>
  <c r="AE676" i="2"/>
  <c r="AE678" i="2"/>
  <c r="AE680" i="2"/>
  <c r="AE675" i="2"/>
  <c r="AE385" i="2"/>
  <c r="AE390" i="2" s="1"/>
  <c r="AQ30" i="5"/>
  <c r="AQ677" i="2"/>
  <c r="AQ679" i="2"/>
  <c r="AQ681" i="2"/>
  <c r="AQ676" i="2"/>
  <c r="AQ678" i="2"/>
  <c r="AQ680" i="2"/>
  <c r="AQ675" i="2"/>
  <c r="AQ385" i="2"/>
  <c r="AQ390" i="2" s="1"/>
  <c r="C343" i="2"/>
  <c r="AM343" i="2"/>
  <c r="J36" i="5"/>
  <c r="J458" i="2"/>
  <c r="AU31" i="5"/>
  <c r="D269" i="2"/>
  <c r="AY395" i="2"/>
  <c r="E309" i="2"/>
  <c r="E310" i="2" s="1"/>
  <c r="G30" i="5"/>
  <c r="G385" i="2"/>
  <c r="G390" i="2" s="1"/>
  <c r="T30" i="5"/>
  <c r="T53" i="5" s="1"/>
  <c r="T681" i="2"/>
  <c r="T689" i="2" s="1"/>
  <c r="T676" i="2"/>
  <c r="T678" i="2"/>
  <c r="T680" i="2"/>
  <c r="T688" i="2" s="1"/>
  <c r="T675" i="2"/>
  <c r="T677" i="2"/>
  <c r="T679" i="2"/>
  <c r="T385" i="2"/>
  <c r="T390" i="2" s="1"/>
  <c r="AF30" i="5"/>
  <c r="AF53" i="5" s="1"/>
  <c r="AF681" i="2"/>
  <c r="AF676" i="2"/>
  <c r="AF678" i="2"/>
  <c r="AF680" i="2"/>
  <c r="AF675" i="2"/>
  <c r="AF679" i="2"/>
  <c r="AF677" i="2"/>
  <c r="AF385" i="2"/>
  <c r="AF390" i="2" s="1"/>
  <c r="AR30" i="5"/>
  <c r="AR681" i="2"/>
  <c r="AR676" i="2"/>
  <c r="AR678" i="2"/>
  <c r="AR680" i="2"/>
  <c r="AR675" i="2"/>
  <c r="AR679" i="2"/>
  <c r="AR677" i="2"/>
  <c r="AR385" i="2"/>
  <c r="AR390" i="2" s="1"/>
  <c r="F798" i="2"/>
  <c r="AP798" i="2"/>
  <c r="J347" i="2"/>
  <c r="AI36" i="5"/>
  <c r="AI458" i="2"/>
  <c r="H30" i="5"/>
  <c r="H385" i="2"/>
  <c r="H390" i="2" s="1"/>
  <c r="U352" i="2"/>
  <c r="U354" i="2" s="1"/>
  <c r="AG352" i="2"/>
  <c r="AG354" i="2" s="1"/>
  <c r="L53" i="5"/>
  <c r="AK53" i="5"/>
  <c r="H343" i="2"/>
  <c r="AR352" i="2"/>
  <c r="AR354" i="2" s="1"/>
  <c r="AN36" i="5"/>
  <c r="AN458" i="2"/>
  <c r="AK312" i="2"/>
  <c r="AK317" i="2" s="1"/>
  <c r="C327" i="2"/>
  <c r="I352" i="2"/>
  <c r="I354" i="2" s="1"/>
  <c r="AU381" i="2"/>
  <c r="AU343" i="2"/>
  <c r="L343" i="2"/>
  <c r="AV352" i="2"/>
  <c r="AV354" i="2" s="1"/>
  <c r="AI347" i="2"/>
  <c r="AI389" i="2"/>
  <c r="AS36" i="5"/>
  <c r="AS458" i="2"/>
  <c r="J39" i="5"/>
  <c r="J381" i="2"/>
  <c r="K381" i="2"/>
  <c r="K327" i="2" s="1"/>
  <c r="K343" i="2"/>
  <c r="W381" i="2"/>
  <c r="W343" i="2"/>
  <c r="AI337" i="2"/>
  <c r="AV30" i="5"/>
  <c r="AV385" i="2"/>
  <c r="AV390" i="2" s="1"/>
  <c r="AV797" i="2" s="1"/>
  <c r="AM53" i="5"/>
  <c r="AI39" i="5"/>
  <c r="V30" i="5"/>
  <c r="V681" i="2"/>
  <c r="V689" i="2" s="1"/>
  <c r="V676" i="2"/>
  <c r="V678" i="2"/>
  <c r="V680" i="2"/>
  <c r="V688" i="2" s="1"/>
  <c r="V675" i="2"/>
  <c r="V683" i="2" s="1"/>
  <c r="V677" i="2"/>
  <c r="V685" i="2" s="1"/>
  <c r="V679" i="2"/>
  <c r="V385" i="2"/>
  <c r="V390" i="2" s="1"/>
  <c r="O312" i="2"/>
  <c r="O317" i="2" s="1"/>
  <c r="AA312" i="2"/>
  <c r="AA317" i="2" s="1"/>
  <c r="AM312" i="2"/>
  <c r="AM317" i="2" s="1"/>
  <c r="O320" i="2"/>
  <c r="O805" i="2" s="1"/>
  <c r="AA320" i="2"/>
  <c r="AA805" i="2" s="1"/>
  <c r="AM320" i="2"/>
  <c r="AM805" i="2" s="1"/>
  <c r="R321" i="2"/>
  <c r="AD321" i="2"/>
  <c r="AP321" i="2"/>
  <c r="L30" i="5"/>
  <c r="L681" i="2"/>
  <c r="L678" i="2"/>
  <c r="L679" i="2"/>
  <c r="L385" i="2"/>
  <c r="L390" i="2" s="1"/>
  <c r="X30" i="5"/>
  <c r="X681" i="2"/>
  <c r="X689" i="2" s="1"/>
  <c r="X676" i="2"/>
  <c r="X684" i="2" s="1"/>
  <c r="X678" i="2"/>
  <c r="X686" i="2" s="1"/>
  <c r="X680" i="2"/>
  <c r="X688" i="2" s="1"/>
  <c r="X677" i="2"/>
  <c r="X679" i="2"/>
  <c r="X687" i="2" s="1"/>
  <c r="X385" i="2"/>
  <c r="X390" i="2" s="1"/>
  <c r="AJ30" i="5"/>
  <c r="AJ53" i="5" s="1"/>
  <c r="AJ681" i="2"/>
  <c r="AJ676" i="2"/>
  <c r="AJ678" i="2"/>
  <c r="AJ686" i="2" s="1"/>
  <c r="AJ680" i="2"/>
  <c r="AJ688" i="2" s="1"/>
  <c r="AJ675" i="2"/>
  <c r="AJ683" i="2" s="1"/>
  <c r="AJ677" i="2"/>
  <c r="AJ685" i="2" s="1"/>
  <c r="AJ679" i="2"/>
  <c r="AJ687" i="2" s="1"/>
  <c r="AJ385" i="2"/>
  <c r="AJ390" i="2" s="1"/>
  <c r="AJ797" i="2" s="1"/>
  <c r="AW30" i="5"/>
  <c r="AW35" i="5" s="1"/>
  <c r="AW385" i="2"/>
  <c r="AW390" i="2" s="1"/>
  <c r="AI342" i="2"/>
  <c r="O53" i="5"/>
  <c r="AA53" i="5"/>
  <c r="AD352" i="2"/>
  <c r="AD354" i="2" s="1"/>
  <c r="AN39" i="5"/>
  <c r="AH30" i="5"/>
  <c r="AH681" i="2"/>
  <c r="AH689" i="2" s="1"/>
  <c r="AH680" i="2"/>
  <c r="AH688" i="2" s="1"/>
  <c r="AH675" i="2"/>
  <c r="AH683" i="2" s="1"/>
  <c r="AH679" i="2"/>
  <c r="AH687" i="2" s="1"/>
  <c r="AH385" i="2"/>
  <c r="AH390" i="2" s="1"/>
  <c r="AH798" i="2" s="1"/>
  <c r="AZ586" i="2"/>
  <c r="BD586" i="2" s="1"/>
  <c r="BD395" i="2"/>
  <c r="J309" i="2"/>
  <c r="J310" i="2" s="1"/>
  <c r="G321" i="2"/>
  <c r="C326" i="2"/>
  <c r="O326" i="2"/>
  <c r="AA326" i="2"/>
  <c r="AM326" i="2"/>
  <c r="M30" i="5"/>
  <c r="M53" i="5" s="1"/>
  <c r="M680" i="2"/>
  <c r="M677" i="2"/>
  <c r="M679" i="2"/>
  <c r="M681" i="2"/>
  <c r="M678" i="2"/>
  <c r="M676" i="2"/>
  <c r="M385" i="2"/>
  <c r="M390" i="2" s="1"/>
  <c r="Y30" i="5"/>
  <c r="Y680" i="2"/>
  <c r="Y688" i="2" s="1"/>
  <c r="Y675" i="2"/>
  <c r="Y677" i="2"/>
  <c r="Y679" i="2"/>
  <c r="Y687" i="2" s="1"/>
  <c r="Y681" i="2"/>
  <c r="Y689" i="2" s="1"/>
  <c r="Y678" i="2"/>
  <c r="Y686" i="2" s="1"/>
  <c r="Y676" i="2"/>
  <c r="Y684" i="2" s="1"/>
  <c r="Y385" i="2"/>
  <c r="Y390" i="2" s="1"/>
  <c r="AK30" i="5"/>
  <c r="AK385" i="2"/>
  <c r="AK390" i="2" s="1"/>
  <c r="AN342" i="2"/>
  <c r="C53" i="5"/>
  <c r="AP53" i="5"/>
  <c r="T343" i="2"/>
  <c r="AN347" i="2"/>
  <c r="AH352" i="2"/>
  <c r="AH354" i="2" s="1"/>
  <c r="AS39" i="5"/>
  <c r="AT30" i="5"/>
  <c r="AT681" i="2"/>
  <c r="AT689" i="2" s="1"/>
  <c r="AT676" i="2"/>
  <c r="AT684" i="2" s="1"/>
  <c r="AT678" i="2"/>
  <c r="AT686" i="2" s="1"/>
  <c r="AT680" i="2"/>
  <c r="AT675" i="2"/>
  <c r="AT683" i="2" s="1"/>
  <c r="AT677" i="2"/>
  <c r="AT685" i="2" s="1"/>
  <c r="AT679" i="2"/>
  <c r="AT687" i="2" s="1"/>
  <c r="AT385" i="2"/>
  <c r="AT390" i="2" s="1"/>
  <c r="I381" i="2"/>
  <c r="L680" i="2" s="1"/>
  <c r="U381" i="2"/>
  <c r="U309" i="2" s="1"/>
  <c r="U310" i="2" s="1"/>
  <c r="AG381" i="2"/>
  <c r="AH676" i="2" s="1"/>
  <c r="AH684" i="2" s="1"/>
  <c r="G55" i="5"/>
  <c r="AE55" i="5"/>
  <c r="AQ55" i="5"/>
  <c r="C36" i="5"/>
  <c r="C458" i="2"/>
  <c r="C462" i="2" s="1"/>
  <c r="O36" i="5"/>
  <c r="O458" i="2"/>
  <c r="AA36" i="5"/>
  <c r="AA458" i="2"/>
  <c r="AM36" i="5"/>
  <c r="AM458" i="2"/>
  <c r="AY411" i="2"/>
  <c r="AY42" i="5" s="1"/>
  <c r="E114" i="5"/>
  <c r="D86" i="5"/>
  <c r="D75" i="5"/>
  <c r="G433" i="2"/>
  <c r="S433" i="2"/>
  <c r="AE433" i="2"/>
  <c r="AQ433" i="2"/>
  <c r="C63" i="5"/>
  <c r="C64" i="5" s="1"/>
  <c r="C710" i="2"/>
  <c r="O63" i="5"/>
  <c r="O710" i="2"/>
  <c r="AA63" i="5"/>
  <c r="AA710" i="2"/>
  <c r="AA694" i="2" s="1"/>
  <c r="AM63" i="5"/>
  <c r="AM710" i="2"/>
  <c r="AM694" i="2" s="1"/>
  <c r="M67" i="5"/>
  <c r="M807" i="2"/>
  <c r="Y67" i="5"/>
  <c r="Y807" i="2"/>
  <c r="AK67" i="5"/>
  <c r="AK807" i="2"/>
  <c r="AW67" i="5"/>
  <c r="AW807" i="2"/>
  <c r="H446" i="2"/>
  <c r="H447" i="2" s="1"/>
  <c r="H448" i="2" s="1"/>
  <c r="H449" i="2" s="1"/>
  <c r="AF446" i="2"/>
  <c r="AF447" i="2" s="1"/>
  <c r="AF448" i="2" s="1"/>
  <c r="AF449" i="2" s="1"/>
  <c r="AR446" i="2"/>
  <c r="AR447" i="2" s="1"/>
  <c r="AR448" i="2" s="1"/>
  <c r="AR449" i="2" s="1"/>
  <c r="BC574" i="2"/>
  <c r="T55" i="5"/>
  <c r="AF55" i="5"/>
  <c r="AR55" i="5"/>
  <c r="D36" i="5"/>
  <c r="D458" i="2"/>
  <c r="P36" i="5"/>
  <c r="P458" i="2"/>
  <c r="AB36" i="5"/>
  <c r="AB458" i="2"/>
  <c r="E86" i="5"/>
  <c r="E75" i="5"/>
  <c r="Q75" i="5"/>
  <c r="AH114" i="5"/>
  <c r="AC75" i="5"/>
  <c r="AT114" i="5"/>
  <c r="AO86" i="5"/>
  <c r="AO75" i="5"/>
  <c r="D63" i="5"/>
  <c r="D64" i="5" s="1"/>
  <c r="D710" i="2"/>
  <c r="P63" i="5"/>
  <c r="P710" i="2"/>
  <c r="AB63" i="5"/>
  <c r="AB710" i="2"/>
  <c r="AB694" i="2" s="1"/>
  <c r="AN63" i="5"/>
  <c r="AN710" i="2"/>
  <c r="AN694" i="2" s="1"/>
  <c r="N67" i="5"/>
  <c r="N807" i="2"/>
  <c r="Z67" i="5"/>
  <c r="Z807" i="2"/>
  <c r="Z814" i="2"/>
  <c r="AL67" i="5"/>
  <c r="AL807" i="2"/>
  <c r="AY67" i="5"/>
  <c r="G7" i="5"/>
  <c r="G795" i="2"/>
  <c r="S7" i="5"/>
  <c r="S795" i="2"/>
  <c r="AE7" i="5"/>
  <c r="AE795" i="2"/>
  <c r="AQ7" i="5"/>
  <c r="AQ795" i="2"/>
  <c r="M343" i="2"/>
  <c r="Y343" i="2"/>
  <c r="AK343" i="2"/>
  <c r="AW343" i="2"/>
  <c r="F54" i="5"/>
  <c r="R54" i="5"/>
  <c r="AP54" i="5"/>
  <c r="E36" i="5"/>
  <c r="E458" i="2"/>
  <c r="Q36" i="5"/>
  <c r="Q458" i="2"/>
  <c r="AC36" i="5"/>
  <c r="AC458" i="2"/>
  <c r="AO36" i="5"/>
  <c r="AO458" i="2"/>
  <c r="E63" i="5"/>
  <c r="E64" i="5" s="1"/>
  <c r="E710" i="2"/>
  <c r="Q63" i="5"/>
  <c r="Q64" i="5" s="1"/>
  <c r="Q710" i="2"/>
  <c r="AC63" i="5"/>
  <c r="AC64" i="5" s="1"/>
  <c r="AC710" i="2"/>
  <c r="AC694" i="2" s="1"/>
  <c r="AO63" i="5"/>
  <c r="AO64" i="5" s="1"/>
  <c r="AO710" i="2"/>
  <c r="AO694" i="2" s="1"/>
  <c r="C67" i="5"/>
  <c r="C807" i="2"/>
  <c r="O67" i="5"/>
  <c r="O807" i="2"/>
  <c r="AA67" i="5"/>
  <c r="AA807" i="2"/>
  <c r="AM67" i="5"/>
  <c r="AM807" i="2"/>
  <c r="AH446" i="2"/>
  <c r="AH447" i="2" s="1"/>
  <c r="AH448" i="2" s="1"/>
  <c r="AH449" i="2" s="1"/>
  <c r="AT446" i="2"/>
  <c r="AT447" i="2" s="1"/>
  <c r="AT448" i="2" s="1"/>
  <c r="AT449" i="2" s="1"/>
  <c r="AB526" i="2"/>
  <c r="D574" i="2"/>
  <c r="BA574" i="2"/>
  <c r="G54" i="5"/>
  <c r="S54" i="5"/>
  <c r="AE54" i="5"/>
  <c r="AQ54" i="5"/>
  <c r="V55" i="5"/>
  <c r="AH55" i="5"/>
  <c r="AT55" i="5"/>
  <c r="F36" i="5"/>
  <c r="F458" i="2"/>
  <c r="R36" i="5"/>
  <c r="R458" i="2"/>
  <c r="AD36" i="5"/>
  <c r="AD458" i="2"/>
  <c r="AP36" i="5"/>
  <c r="AP458" i="2"/>
  <c r="G75" i="5"/>
  <c r="G64" i="5"/>
  <c r="S75" i="5"/>
  <c r="S64" i="5"/>
  <c r="AE86" i="5"/>
  <c r="AE75" i="5"/>
  <c r="AE64" i="5"/>
  <c r="AV114" i="5"/>
  <c r="AQ75" i="5"/>
  <c r="AH433" i="2"/>
  <c r="F63" i="5"/>
  <c r="F710" i="2"/>
  <c r="R63" i="5"/>
  <c r="R710" i="2"/>
  <c r="AD63" i="5"/>
  <c r="AD710" i="2"/>
  <c r="AD694" i="2" s="1"/>
  <c r="AP63" i="5"/>
  <c r="AP710" i="2"/>
  <c r="AP694" i="2" s="1"/>
  <c r="D67" i="5"/>
  <c r="D807" i="2"/>
  <c r="P67" i="5"/>
  <c r="P814" i="2"/>
  <c r="P807" i="2"/>
  <c r="AB67" i="5"/>
  <c r="AB807" i="2"/>
  <c r="AN67" i="5"/>
  <c r="AN807" i="2"/>
  <c r="I7" i="5"/>
  <c r="I795" i="2"/>
  <c r="U7" i="5"/>
  <c r="U795" i="2"/>
  <c r="AG7" i="5"/>
  <c r="AG795" i="2"/>
  <c r="AS7" i="5"/>
  <c r="AS795" i="2"/>
  <c r="I456" i="2"/>
  <c r="I99" i="5" s="1"/>
  <c r="U456" i="2"/>
  <c r="AG456" i="2"/>
  <c r="AS456" i="2"/>
  <c r="I574" i="2"/>
  <c r="X574" i="2"/>
  <c r="BB574" i="2"/>
  <c r="H54" i="5"/>
  <c r="T54" i="5"/>
  <c r="AF54" i="5"/>
  <c r="AR54" i="5"/>
  <c r="G36" i="5"/>
  <c r="G458" i="2"/>
  <c r="S36" i="5"/>
  <c r="S458" i="2"/>
  <c r="AE36" i="5"/>
  <c r="AE458" i="2"/>
  <c r="AQ36" i="5"/>
  <c r="AQ458" i="2"/>
  <c r="M114" i="5"/>
  <c r="H75" i="5"/>
  <c r="AK114" i="5"/>
  <c r="AF75" i="5"/>
  <c r="AW114" i="5"/>
  <c r="AR75" i="5"/>
  <c r="AR64" i="5"/>
  <c r="G63" i="5"/>
  <c r="G710" i="2"/>
  <c r="S63" i="5"/>
  <c r="S710" i="2"/>
  <c r="AE63" i="5"/>
  <c r="AE710" i="2"/>
  <c r="AE694" i="2" s="1"/>
  <c r="AQ63" i="5"/>
  <c r="AQ64" i="5" s="1"/>
  <c r="AQ710" i="2"/>
  <c r="AQ694" i="2" s="1"/>
  <c r="E67" i="5"/>
  <c r="E807" i="2"/>
  <c r="Q67" i="5"/>
  <c r="Q807" i="2"/>
  <c r="AC67" i="5"/>
  <c r="AC807" i="2"/>
  <c r="AO67" i="5"/>
  <c r="AO814" i="2"/>
  <c r="AO807" i="2"/>
  <c r="AV446" i="2"/>
  <c r="AV447" i="2" s="1"/>
  <c r="AV448" i="2" s="1"/>
  <c r="AV449" i="2" s="1"/>
  <c r="J99" i="5"/>
  <c r="J84" i="5"/>
  <c r="V99" i="5"/>
  <c r="V84" i="5"/>
  <c r="AH99" i="5"/>
  <c r="AH84" i="5"/>
  <c r="AT99" i="5"/>
  <c r="AT84" i="5"/>
  <c r="AT467" i="2"/>
  <c r="AT466" i="2"/>
  <c r="F574" i="2"/>
  <c r="U574" i="2"/>
  <c r="X55" i="5"/>
  <c r="AJ55" i="5"/>
  <c r="AY389" i="2"/>
  <c r="AY34" i="5" s="1"/>
  <c r="H36" i="5"/>
  <c r="H458" i="2"/>
  <c r="T36" i="5"/>
  <c r="T458" i="2"/>
  <c r="AF36" i="5"/>
  <c r="AF458" i="2"/>
  <c r="AR36" i="5"/>
  <c r="AR458" i="2"/>
  <c r="N114" i="5"/>
  <c r="I75" i="5"/>
  <c r="Z114" i="5"/>
  <c r="U86" i="5"/>
  <c r="U75" i="5"/>
  <c r="AL114" i="5"/>
  <c r="AG75" i="5"/>
  <c r="AG64" i="5"/>
  <c r="AV433" i="2"/>
  <c r="H63" i="5"/>
  <c r="H64" i="5" s="1"/>
  <c r="H710" i="2"/>
  <c r="T63" i="5"/>
  <c r="T710" i="2"/>
  <c r="AF63" i="5"/>
  <c r="AF64" i="5" s="1"/>
  <c r="AF710" i="2"/>
  <c r="AF694" i="2" s="1"/>
  <c r="AR63" i="5"/>
  <c r="AR710" i="2"/>
  <c r="AR694" i="2" s="1"/>
  <c r="F67" i="5"/>
  <c r="F807" i="2"/>
  <c r="R67" i="5"/>
  <c r="R807" i="2"/>
  <c r="AD67" i="5"/>
  <c r="AD807" i="2"/>
  <c r="AP67" i="5"/>
  <c r="AP807" i="2"/>
  <c r="M446" i="2"/>
  <c r="M447" i="2" s="1"/>
  <c r="M448" i="2" s="1"/>
  <c r="M449" i="2" s="1"/>
  <c r="AK446" i="2"/>
  <c r="AK447" i="2" s="1"/>
  <c r="AK448" i="2" s="1"/>
  <c r="AK449" i="2" s="1"/>
  <c r="AW446" i="2"/>
  <c r="AW447" i="2" s="1"/>
  <c r="AW448" i="2" s="1"/>
  <c r="AW449" i="2" s="1"/>
  <c r="K99" i="5"/>
  <c r="K84" i="5"/>
  <c r="K467" i="2"/>
  <c r="K466" i="2"/>
  <c r="W99" i="5"/>
  <c r="W84" i="5"/>
  <c r="AI99" i="5"/>
  <c r="AI84" i="5"/>
  <c r="AU99" i="5"/>
  <c r="AU84" i="5"/>
  <c r="L574" i="2"/>
  <c r="BE574" i="2"/>
  <c r="E343" i="2"/>
  <c r="Q343" i="2"/>
  <c r="AC343" i="2"/>
  <c r="AO343" i="2"/>
  <c r="V54" i="5"/>
  <c r="AH54" i="5"/>
  <c r="AT54" i="5"/>
  <c r="M55" i="5"/>
  <c r="AK55" i="5"/>
  <c r="AW55" i="5"/>
  <c r="I36" i="5"/>
  <c r="I458" i="2"/>
  <c r="U36" i="5"/>
  <c r="U458" i="2"/>
  <c r="AG36" i="5"/>
  <c r="AG458" i="2"/>
  <c r="AM114" i="5"/>
  <c r="AH75" i="5"/>
  <c r="AT86" i="5"/>
  <c r="AT83" i="5" s="1"/>
  <c r="AT75" i="5"/>
  <c r="M433" i="2"/>
  <c r="AK433" i="2"/>
  <c r="AW433" i="2"/>
  <c r="I63" i="5"/>
  <c r="I64" i="5" s="1"/>
  <c r="I710" i="2"/>
  <c r="U63" i="5"/>
  <c r="U64" i="5" s="1"/>
  <c r="U710" i="2"/>
  <c r="AG63" i="5"/>
  <c r="AG710" i="2"/>
  <c r="AG694" i="2" s="1"/>
  <c r="AS63" i="5"/>
  <c r="AS710" i="2"/>
  <c r="AS694" i="2" s="1"/>
  <c r="G67" i="5"/>
  <c r="G807" i="2"/>
  <c r="S67" i="5"/>
  <c r="S807" i="2"/>
  <c r="AE67" i="5"/>
  <c r="AE807" i="2"/>
  <c r="AE814" i="2"/>
  <c r="AQ67" i="5"/>
  <c r="AQ807" i="2"/>
  <c r="N446" i="2"/>
  <c r="N447" i="2" s="1"/>
  <c r="N448" i="2" s="1"/>
  <c r="N449" i="2" s="1"/>
  <c r="Z446" i="2"/>
  <c r="Z447" i="2" s="1"/>
  <c r="Z448" i="2" s="1"/>
  <c r="Z449" i="2" s="1"/>
  <c r="AL446" i="2"/>
  <c r="AL447" i="2" s="1"/>
  <c r="AL448" i="2" s="1"/>
  <c r="AL449" i="2" s="1"/>
  <c r="L99" i="5"/>
  <c r="L100" i="5" s="1"/>
  <c r="L101" i="5" s="1"/>
  <c r="L84" i="5"/>
  <c r="X99" i="5"/>
  <c r="X84" i="5"/>
  <c r="AJ99" i="5"/>
  <c r="AJ84" i="5"/>
  <c r="AJ467" i="2"/>
  <c r="AV99" i="5"/>
  <c r="AV84" i="5"/>
  <c r="M574" i="2"/>
  <c r="BF574" i="2"/>
  <c r="V36" i="5"/>
  <c r="V458" i="2"/>
  <c r="AH36" i="5"/>
  <c r="AH458" i="2"/>
  <c r="AT36" i="5"/>
  <c r="AT458" i="2"/>
  <c r="J63" i="5"/>
  <c r="J710" i="2"/>
  <c r="V63" i="5"/>
  <c r="V710" i="2"/>
  <c r="AH63" i="5"/>
  <c r="AH64" i="5" s="1"/>
  <c r="AH710" i="2"/>
  <c r="AH694" i="2" s="1"/>
  <c r="AT63" i="5"/>
  <c r="AT64" i="5" s="1"/>
  <c r="AT710" i="2"/>
  <c r="AT694" i="2" s="1"/>
  <c r="AT695" i="2" s="1"/>
  <c r="H67" i="5"/>
  <c r="H807" i="2"/>
  <c r="T67" i="5"/>
  <c r="T807" i="2"/>
  <c r="AF67" i="5"/>
  <c r="AF807" i="2"/>
  <c r="AR67" i="5"/>
  <c r="AR807" i="2"/>
  <c r="AZ767" i="2"/>
  <c r="BA454" i="2"/>
  <c r="M99" i="5"/>
  <c r="M84" i="5"/>
  <c r="Y99" i="5"/>
  <c r="Y84" i="5"/>
  <c r="AK99" i="5"/>
  <c r="AK84" i="5"/>
  <c r="AW99" i="5"/>
  <c r="AW84" i="5"/>
  <c r="G343" i="2"/>
  <c r="S343" i="2"/>
  <c r="AE343" i="2"/>
  <c r="AQ343" i="2"/>
  <c r="X54" i="5"/>
  <c r="AJ54" i="5"/>
  <c r="C55" i="5"/>
  <c r="O55" i="5"/>
  <c r="AA55" i="5"/>
  <c r="AM55" i="5"/>
  <c r="K36" i="5"/>
  <c r="K458" i="2"/>
  <c r="W36" i="5"/>
  <c r="W458" i="2"/>
  <c r="AU36" i="5"/>
  <c r="AU458" i="2"/>
  <c r="AY410" i="2"/>
  <c r="AY41" i="5" s="1"/>
  <c r="AV75" i="5"/>
  <c r="K63" i="5"/>
  <c r="K710" i="2"/>
  <c r="W63" i="5"/>
  <c r="W710" i="2"/>
  <c r="AI63" i="5"/>
  <c r="AI710" i="2"/>
  <c r="AI694" i="2" s="1"/>
  <c r="AU63" i="5"/>
  <c r="AU710" i="2"/>
  <c r="I67" i="5"/>
  <c r="I807" i="2"/>
  <c r="U67" i="5"/>
  <c r="U814" i="2"/>
  <c r="U807" i="2"/>
  <c r="AG67" i="5"/>
  <c r="AG807" i="2"/>
  <c r="AS67" i="5"/>
  <c r="AS807" i="2"/>
  <c r="D446" i="2"/>
  <c r="D447" i="2" s="1"/>
  <c r="D448" i="2" s="1"/>
  <c r="D449" i="2" s="1"/>
  <c r="N99" i="5"/>
  <c r="N84" i="5"/>
  <c r="Z99" i="5"/>
  <c r="Z83" i="5"/>
  <c r="Z84" i="5"/>
  <c r="Z467" i="2"/>
  <c r="AL99" i="5"/>
  <c r="AL100" i="5" s="1"/>
  <c r="AL84" i="5"/>
  <c r="AX526" i="2"/>
  <c r="P574" i="2"/>
  <c r="M54" i="5"/>
  <c r="AK54" i="5"/>
  <c r="AW54" i="5"/>
  <c r="L36" i="5"/>
  <c r="L458" i="2"/>
  <c r="X36" i="5"/>
  <c r="X458" i="2"/>
  <c r="AJ36" i="5"/>
  <c r="AJ458" i="2"/>
  <c r="AV36" i="5"/>
  <c r="AV458" i="2"/>
  <c r="M75" i="5"/>
  <c r="M64" i="5"/>
  <c r="AK75" i="5"/>
  <c r="AK64" i="5"/>
  <c r="AW75" i="5"/>
  <c r="L63" i="5"/>
  <c r="L710" i="2"/>
  <c r="X63" i="5"/>
  <c r="X710" i="2"/>
  <c r="AJ63" i="5"/>
  <c r="AJ710" i="2"/>
  <c r="AJ694" i="2" s="1"/>
  <c r="AV63" i="5"/>
  <c r="AV64" i="5" s="1"/>
  <c r="AV710" i="2"/>
  <c r="AV694" i="2" s="1"/>
  <c r="J67" i="5"/>
  <c r="J807" i="2"/>
  <c r="V67" i="5"/>
  <c r="V807" i="2"/>
  <c r="AH67" i="5"/>
  <c r="AH807" i="2"/>
  <c r="AT67" i="5"/>
  <c r="AT807" i="2"/>
  <c r="AT814" i="2"/>
  <c r="E446" i="2"/>
  <c r="E447" i="2" s="1"/>
  <c r="E448" i="2" s="1"/>
  <c r="E449" i="2" s="1"/>
  <c r="Q446" i="2"/>
  <c r="Q447" i="2" s="1"/>
  <c r="Q448" i="2" s="1"/>
  <c r="Q449" i="2" s="1"/>
  <c r="AC446" i="2"/>
  <c r="AC447" i="2" s="1"/>
  <c r="AC448" i="2" s="1"/>
  <c r="AC449" i="2" s="1"/>
  <c r="AO446" i="2"/>
  <c r="AO447" i="2" s="1"/>
  <c r="AO448" i="2" s="1"/>
  <c r="AO449" i="2" s="1"/>
  <c r="E55" i="5"/>
  <c r="Q55" i="5"/>
  <c r="AC55" i="5"/>
  <c r="BD389" i="2"/>
  <c r="BD34" i="5" s="1"/>
  <c r="M36" i="5"/>
  <c r="M458" i="2"/>
  <c r="Y36" i="5"/>
  <c r="Y458" i="2"/>
  <c r="AK36" i="5"/>
  <c r="AK458" i="2"/>
  <c r="AW36" i="5"/>
  <c r="AW458" i="2"/>
  <c r="AY402" i="2"/>
  <c r="AY37" i="5" s="1"/>
  <c r="S114" i="5"/>
  <c r="N75" i="5"/>
  <c r="AE114" i="5"/>
  <c r="Z86" i="5"/>
  <c r="Z75" i="5"/>
  <c r="Z64" i="5"/>
  <c r="AQ114" i="5"/>
  <c r="AL75" i="5"/>
  <c r="AL64" i="5"/>
  <c r="E433" i="2"/>
  <c r="Q433" i="2"/>
  <c r="AC433" i="2"/>
  <c r="AO433" i="2"/>
  <c r="M63" i="5"/>
  <c r="M710" i="2"/>
  <c r="Y63" i="5"/>
  <c r="Y710" i="2"/>
  <c r="AK63" i="5"/>
  <c r="AK710" i="2"/>
  <c r="AK694" i="2" s="1"/>
  <c r="AW63" i="5"/>
  <c r="AW64" i="5" s="1"/>
  <c r="AW710" i="2"/>
  <c r="K67" i="5"/>
  <c r="K814" i="2"/>
  <c r="K807" i="2"/>
  <c r="W67" i="5"/>
  <c r="W807" i="2"/>
  <c r="AI67" i="5"/>
  <c r="AI807" i="2"/>
  <c r="AU67" i="5"/>
  <c r="AU807" i="2"/>
  <c r="D99" i="5"/>
  <c r="D100" i="5" s="1"/>
  <c r="D101" i="5" s="1"/>
  <c r="D83" i="5"/>
  <c r="D84" i="5"/>
  <c r="D467" i="2"/>
  <c r="D466" i="2"/>
  <c r="P99" i="5"/>
  <c r="P84" i="5"/>
  <c r="AB99" i="5"/>
  <c r="AB84" i="5"/>
  <c r="AN99" i="5"/>
  <c r="AN84" i="5"/>
  <c r="AB574" i="2"/>
  <c r="R574" i="2"/>
  <c r="C54" i="5"/>
  <c r="O54" i="5"/>
  <c r="AA54" i="5"/>
  <c r="AM54" i="5"/>
  <c r="F55" i="5"/>
  <c r="R55" i="5"/>
  <c r="AP55" i="5"/>
  <c r="N36" i="5"/>
  <c r="N458" i="2"/>
  <c r="Z36" i="5"/>
  <c r="Z458" i="2"/>
  <c r="AL36" i="5"/>
  <c r="AL458" i="2"/>
  <c r="BD37" i="5"/>
  <c r="D114" i="5"/>
  <c r="C86" i="5"/>
  <c r="C83" i="5" s="1"/>
  <c r="AF114" i="5"/>
  <c r="AA75" i="5"/>
  <c r="AA64" i="5"/>
  <c r="AR114" i="5"/>
  <c r="AM75" i="5"/>
  <c r="AM64" i="5"/>
  <c r="N63" i="5"/>
  <c r="N64" i="5" s="1"/>
  <c r="N710" i="2"/>
  <c r="Z63" i="5"/>
  <c r="Z710" i="2"/>
  <c r="AL63" i="5"/>
  <c r="AL710" i="2"/>
  <c r="AL694" i="2" s="1"/>
  <c r="L67" i="5"/>
  <c r="L807" i="2"/>
  <c r="X67" i="5"/>
  <c r="X807" i="2"/>
  <c r="AJ67" i="5"/>
  <c r="AJ807" i="2"/>
  <c r="AJ814" i="2"/>
  <c r="AV67" i="5"/>
  <c r="AV807" i="2"/>
  <c r="G446" i="2"/>
  <c r="G447" i="2" s="1"/>
  <c r="G448" i="2" s="1"/>
  <c r="G449" i="2" s="1"/>
  <c r="S446" i="2"/>
  <c r="S447" i="2" s="1"/>
  <c r="S448" i="2" s="1"/>
  <c r="S449" i="2" s="1"/>
  <c r="AE446" i="2"/>
  <c r="AE447" i="2" s="1"/>
  <c r="AE448" i="2" s="1"/>
  <c r="AE449" i="2" s="1"/>
  <c r="AQ446" i="2"/>
  <c r="AQ447" i="2" s="1"/>
  <c r="AQ448" i="2" s="1"/>
  <c r="AQ449" i="2" s="1"/>
  <c r="AX574" i="2"/>
  <c r="E574" i="2"/>
  <c r="M7" i="5"/>
  <c r="M795" i="2"/>
  <c r="Y7" i="5"/>
  <c r="Y795" i="2"/>
  <c r="AK7" i="5"/>
  <c r="AK795" i="2"/>
  <c r="AW7" i="5"/>
  <c r="AW795" i="2"/>
  <c r="F8" i="5"/>
  <c r="F796" i="2"/>
  <c r="R8" i="5"/>
  <c r="R796" i="2"/>
  <c r="AD8" i="5"/>
  <c r="AD796" i="2"/>
  <c r="AP8" i="5"/>
  <c r="AP796" i="2"/>
  <c r="T503" i="2"/>
  <c r="T510" i="2" s="1"/>
  <c r="AS514" i="2"/>
  <c r="AE526" i="2"/>
  <c r="AS804" i="2"/>
  <c r="AS631" i="2"/>
  <c r="J541" i="2"/>
  <c r="AN571" i="2"/>
  <c r="AD72" i="5"/>
  <c r="X600" i="2"/>
  <c r="X432" i="2" s="1"/>
  <c r="I616" i="2"/>
  <c r="I69" i="5" s="1"/>
  <c r="M664" i="2"/>
  <c r="N7" i="5"/>
  <c r="N795" i="2"/>
  <c r="Z7" i="5"/>
  <c r="Z795" i="2"/>
  <c r="AL7" i="5"/>
  <c r="AL795" i="2"/>
  <c r="G8" i="5"/>
  <c r="G796" i="2"/>
  <c r="S8" i="5"/>
  <c r="S796" i="2"/>
  <c r="AE8" i="5"/>
  <c r="AE796" i="2"/>
  <c r="AQ8" i="5"/>
  <c r="AQ796" i="2"/>
  <c r="AS503" i="2"/>
  <c r="AS510" i="2" s="1"/>
  <c r="T526" i="2"/>
  <c r="AF526" i="2"/>
  <c r="AF574" i="2" s="1"/>
  <c r="AF577" i="2" s="1"/>
  <c r="AI541" i="2"/>
  <c r="AI72" i="5"/>
  <c r="K600" i="2"/>
  <c r="K432" i="2" s="1"/>
  <c r="Z616" i="2"/>
  <c r="Z69" i="5" s="1"/>
  <c r="O7" i="5"/>
  <c r="O795" i="2"/>
  <c r="AA7" i="5"/>
  <c r="AA795" i="2"/>
  <c r="AM7" i="5"/>
  <c r="AM795" i="2"/>
  <c r="AX453" i="2"/>
  <c r="AX761" i="2" s="1"/>
  <c r="AY761" i="2" s="1"/>
  <c r="H8" i="5"/>
  <c r="H796" i="2"/>
  <c r="T8" i="5"/>
  <c r="T796" i="2"/>
  <c r="AF8" i="5"/>
  <c r="AF796" i="2"/>
  <c r="AR8" i="5"/>
  <c r="AR796" i="2"/>
  <c r="J503" i="2"/>
  <c r="J510" i="2" s="1"/>
  <c r="J526" i="2" s="1"/>
  <c r="AI514" i="2"/>
  <c r="AG526" i="2"/>
  <c r="AG574" i="2" s="1"/>
  <c r="AG577" i="2" s="1"/>
  <c r="AI661" i="2"/>
  <c r="AD571" i="2"/>
  <c r="AN72" i="5"/>
  <c r="L600" i="2"/>
  <c r="AP600" i="2"/>
  <c r="L616" i="2"/>
  <c r="L664" i="2" s="1"/>
  <c r="AB604" i="2"/>
  <c r="D7" i="5"/>
  <c r="D795" i="2"/>
  <c r="P7" i="5"/>
  <c r="P795" i="2"/>
  <c r="AB7" i="5"/>
  <c r="AB795" i="2"/>
  <c r="AN7" i="5"/>
  <c r="AN795" i="2"/>
  <c r="I8" i="5"/>
  <c r="I796" i="2"/>
  <c r="U8" i="5"/>
  <c r="U796" i="2"/>
  <c r="AG8" i="5"/>
  <c r="AG796" i="2"/>
  <c r="AS8" i="5"/>
  <c r="AS796" i="2"/>
  <c r="J600" i="2"/>
  <c r="AI503" i="2"/>
  <c r="AI510" i="2" s="1"/>
  <c r="AJ616" i="2"/>
  <c r="AJ69" i="5" s="1"/>
  <c r="AV616" i="2"/>
  <c r="AV69" i="5" s="1"/>
  <c r="AH526" i="2"/>
  <c r="AH574" i="2" s="1"/>
  <c r="AH577" i="2" s="1"/>
  <c r="AT526" i="2"/>
  <c r="AT574" i="2" s="1"/>
  <c r="Y541" i="2"/>
  <c r="AN661" i="2"/>
  <c r="G574" i="2"/>
  <c r="S574" i="2"/>
  <c r="AE574" i="2"/>
  <c r="AQ574" i="2"/>
  <c r="AT663" i="2"/>
  <c r="AT72" i="5" s="1"/>
  <c r="AS573" i="2"/>
  <c r="AS663" i="2" s="1"/>
  <c r="AS72" i="5" s="1"/>
  <c r="AB600" i="2"/>
  <c r="AB432" i="2" s="1"/>
  <c r="E7" i="5"/>
  <c r="E795" i="2"/>
  <c r="Q7" i="5"/>
  <c r="Q795" i="2"/>
  <c r="AC7" i="5"/>
  <c r="AC795" i="2"/>
  <c r="AO7" i="5"/>
  <c r="AO795" i="2"/>
  <c r="J8" i="5"/>
  <c r="J796" i="2"/>
  <c r="V8" i="5"/>
  <c r="V796" i="2"/>
  <c r="AH8" i="5"/>
  <c r="AH796" i="2"/>
  <c r="AT8" i="5"/>
  <c r="AT796" i="2"/>
  <c r="O593" i="2"/>
  <c r="O600" i="2" s="1"/>
  <c r="O432" i="2" s="1"/>
  <c r="AK69" i="5"/>
  <c r="AW604" i="2"/>
  <c r="AW616" i="2" s="1"/>
  <c r="AW69" i="5" s="1"/>
  <c r="AS661" i="2"/>
  <c r="H574" i="2"/>
  <c r="T571" i="2"/>
  <c r="T574" i="2" s="1"/>
  <c r="AR574" i="2"/>
  <c r="BD574" i="2"/>
  <c r="N616" i="2"/>
  <c r="N69" i="5" s="1"/>
  <c r="AC664" i="2"/>
  <c r="AQ664" i="2"/>
  <c r="F7" i="5"/>
  <c r="F795" i="2"/>
  <c r="R7" i="5"/>
  <c r="R795" i="2"/>
  <c r="AD7" i="5"/>
  <c r="AD795" i="2"/>
  <c r="AP7" i="5"/>
  <c r="AP795" i="2"/>
  <c r="K8" i="5"/>
  <c r="K796" i="2"/>
  <c r="W8" i="5"/>
  <c r="W796" i="2"/>
  <c r="AI8" i="5"/>
  <c r="AI796" i="2"/>
  <c r="AU8" i="5"/>
  <c r="AU796" i="2"/>
  <c r="T593" i="2"/>
  <c r="T600" i="2" s="1"/>
  <c r="T432" i="2" s="1"/>
  <c r="Y503" i="2"/>
  <c r="Y510" i="2" s="1"/>
  <c r="Y526" i="2" s="1"/>
  <c r="Y616" i="2"/>
  <c r="Y69" i="5" s="1"/>
  <c r="AL604" i="2"/>
  <c r="AL616" i="2" s="1"/>
  <c r="AL69" i="5" s="1"/>
  <c r="AJ526" i="2"/>
  <c r="AJ574" i="2" s="1"/>
  <c r="AJ577" i="2" s="1"/>
  <c r="AK576" i="2" s="1"/>
  <c r="AV526" i="2"/>
  <c r="AV574" i="2" s="1"/>
  <c r="J804" i="2"/>
  <c r="J631" i="2"/>
  <c r="O541" i="2"/>
  <c r="AS571" i="2"/>
  <c r="P600" i="2"/>
  <c r="P432" i="2" s="1"/>
  <c r="P467" i="2" s="1"/>
  <c r="AD661" i="2"/>
  <c r="L8" i="5"/>
  <c r="L796" i="2"/>
  <c r="X8" i="5"/>
  <c r="X796" i="2"/>
  <c r="AJ8" i="5"/>
  <c r="AJ796" i="2"/>
  <c r="AV8" i="5"/>
  <c r="AV796" i="2"/>
  <c r="C99" i="5"/>
  <c r="C100" i="5" s="1"/>
  <c r="C101" i="5" s="1"/>
  <c r="C84" i="5"/>
  <c r="O99" i="5"/>
  <c r="O84" i="5"/>
  <c r="AA99" i="5"/>
  <c r="AA100" i="5" s="1"/>
  <c r="AA84" i="5"/>
  <c r="AM99" i="5"/>
  <c r="AM84" i="5"/>
  <c r="Y600" i="2"/>
  <c r="Y432" i="2" s="1"/>
  <c r="AA69" i="5"/>
  <c r="O804" i="2"/>
  <c r="O631" i="2"/>
  <c r="AN541" i="2"/>
  <c r="J571" i="2"/>
  <c r="C616" i="2"/>
  <c r="C69" i="5" s="1"/>
  <c r="Q616" i="2"/>
  <c r="K813" i="2"/>
  <c r="H7" i="5"/>
  <c r="H795" i="2"/>
  <c r="T7" i="5"/>
  <c r="T795" i="2"/>
  <c r="AF7" i="5"/>
  <c r="AF795" i="2"/>
  <c r="AR7" i="5"/>
  <c r="AR795" i="2"/>
  <c r="M8" i="5"/>
  <c r="M796" i="2"/>
  <c r="Y8" i="5"/>
  <c r="Y796" i="2"/>
  <c r="AK8" i="5"/>
  <c r="AK796" i="2"/>
  <c r="AW8" i="5"/>
  <c r="AW796" i="2"/>
  <c r="AD593" i="2"/>
  <c r="AD600" i="2" s="1"/>
  <c r="AD432" i="2" s="1"/>
  <c r="O503" i="2"/>
  <c r="O510" i="2" s="1"/>
  <c r="O526" i="2" s="1"/>
  <c r="AU510" i="2"/>
  <c r="AU526" i="2" s="1"/>
  <c r="AU574" i="2" s="1"/>
  <c r="AN514" i="2"/>
  <c r="AL526" i="2"/>
  <c r="T804" i="2"/>
  <c r="T631" i="2"/>
  <c r="K574" i="2"/>
  <c r="W574" i="2"/>
  <c r="AI571" i="2"/>
  <c r="BG574" i="2"/>
  <c r="R600" i="2"/>
  <c r="U810" i="2" s="1"/>
  <c r="D616" i="2"/>
  <c r="D69" i="5" s="1"/>
  <c r="N8" i="5"/>
  <c r="N796" i="2"/>
  <c r="Z8" i="5"/>
  <c r="Z796" i="2"/>
  <c r="AL8" i="5"/>
  <c r="AL796" i="2"/>
  <c r="AX8" i="5"/>
  <c r="AX796" i="2"/>
  <c r="E456" i="2"/>
  <c r="Q456" i="2"/>
  <c r="AC456" i="2"/>
  <c r="AO456" i="2"/>
  <c r="C466" i="2"/>
  <c r="AI600" i="2"/>
  <c r="AI432" i="2" s="1"/>
  <c r="AA526" i="2"/>
  <c r="AM526" i="2"/>
  <c r="Y804" i="2"/>
  <c r="Y631" i="2"/>
  <c r="AN711" i="2"/>
  <c r="AD541" i="2"/>
  <c r="J72" i="5"/>
  <c r="E616" i="2"/>
  <c r="E69" i="5" s="1"/>
  <c r="S616" i="2"/>
  <c r="S69" i="5" s="1"/>
  <c r="J7" i="5"/>
  <c r="J795" i="2"/>
  <c r="V7" i="5"/>
  <c r="V795" i="2"/>
  <c r="AH7" i="5"/>
  <c r="AH795" i="2"/>
  <c r="AT7" i="5"/>
  <c r="AT795" i="2"/>
  <c r="O8" i="5"/>
  <c r="O796" i="2"/>
  <c r="AA8" i="5"/>
  <c r="AA796" i="2"/>
  <c r="AM8" i="5"/>
  <c r="AM796" i="2"/>
  <c r="F456" i="2"/>
  <c r="R456" i="2"/>
  <c r="AD456" i="2"/>
  <c r="AP456" i="2"/>
  <c r="C467" i="2"/>
  <c r="N9" i="5"/>
  <c r="Z9" i="5"/>
  <c r="AL9" i="5"/>
  <c r="AX9" i="5"/>
  <c r="AN593" i="2"/>
  <c r="AN600" i="2" s="1"/>
  <c r="AN432" i="2" s="1"/>
  <c r="AD514" i="2"/>
  <c r="AD804" i="2"/>
  <c r="AD631" i="2"/>
  <c r="AS711" i="2"/>
  <c r="Y571" i="2"/>
  <c r="Y574" i="2" s="1"/>
  <c r="O72" i="5"/>
  <c r="F600" i="2"/>
  <c r="F432" i="2" s="1"/>
  <c r="AJ600" i="2"/>
  <c r="AJ432" i="2" s="1"/>
  <c r="U616" i="2"/>
  <c r="U69" i="5" s="1"/>
  <c r="J661" i="2"/>
  <c r="K7" i="5"/>
  <c r="K795" i="2"/>
  <c r="W7" i="5"/>
  <c r="W795" i="2"/>
  <c r="AI7" i="5"/>
  <c r="AI795" i="2"/>
  <c r="AU7" i="5"/>
  <c r="AU795" i="2"/>
  <c r="D8" i="5"/>
  <c r="D796" i="2"/>
  <c r="P8" i="5"/>
  <c r="P796" i="2"/>
  <c r="AB8" i="5"/>
  <c r="AB796" i="2"/>
  <c r="AN8" i="5"/>
  <c r="AN796" i="2"/>
  <c r="G456" i="2"/>
  <c r="G99" i="5" s="1"/>
  <c r="S456" i="2"/>
  <c r="AE456" i="2"/>
  <c r="AQ456" i="2"/>
  <c r="AS593" i="2"/>
  <c r="AS600" i="2" s="1"/>
  <c r="AS432" i="2" s="1"/>
  <c r="AD503" i="2"/>
  <c r="AD510" i="2" s="1"/>
  <c r="AQ604" i="2"/>
  <c r="AQ616" i="2" s="1"/>
  <c r="AQ69" i="5" s="1"/>
  <c r="AC526" i="2"/>
  <c r="AC574" i="2" s="1"/>
  <c r="AO526" i="2"/>
  <c r="AO574" i="2" s="1"/>
  <c r="AO577" i="2" s="1"/>
  <c r="AP576" i="2" s="1"/>
  <c r="AQ576" i="2" s="1"/>
  <c r="AR576" i="2" s="1"/>
  <c r="AS576" i="2" s="1"/>
  <c r="AT576" i="2" s="1"/>
  <c r="AT666" i="2" s="1"/>
  <c r="AT667" i="2" s="1"/>
  <c r="AI804" i="2"/>
  <c r="AI631" i="2"/>
  <c r="T541" i="2"/>
  <c r="N574" i="2"/>
  <c r="Z574" i="2"/>
  <c r="AL574" i="2"/>
  <c r="T72" i="5"/>
  <c r="V600" i="2"/>
  <c r="AO810" i="2"/>
  <c r="G616" i="2"/>
  <c r="V616" i="2"/>
  <c r="Z812" i="2"/>
  <c r="L7" i="5"/>
  <c r="L795" i="2"/>
  <c r="X7" i="5"/>
  <c r="X795" i="2"/>
  <c r="AJ7" i="5"/>
  <c r="AJ795" i="2"/>
  <c r="AV7" i="5"/>
  <c r="AV795" i="2"/>
  <c r="E8" i="5"/>
  <c r="E796" i="2"/>
  <c r="Q8" i="5"/>
  <c r="Q796" i="2"/>
  <c r="AC8" i="5"/>
  <c r="AC796" i="2"/>
  <c r="AO8" i="5"/>
  <c r="AO796" i="2"/>
  <c r="H456" i="2"/>
  <c r="H99" i="5" s="1"/>
  <c r="T456" i="2"/>
  <c r="AF456" i="2"/>
  <c r="AR456" i="2"/>
  <c r="D9" i="5"/>
  <c r="P9" i="5"/>
  <c r="AB9" i="5"/>
  <c r="AN9" i="5"/>
  <c r="AZ9" i="5"/>
  <c r="AF616" i="2"/>
  <c r="AR604" i="2"/>
  <c r="AR616" i="2" s="1"/>
  <c r="AR69" i="5" s="1"/>
  <c r="AP526" i="2"/>
  <c r="AP574" i="2" s="1"/>
  <c r="AN804" i="2"/>
  <c r="AN631" i="2"/>
  <c r="AS541" i="2"/>
  <c r="C574" i="2"/>
  <c r="C577" i="2" s="1"/>
  <c r="D576" i="2" s="1"/>
  <c r="O571" i="2"/>
  <c r="O574" i="2" s="1"/>
  <c r="AA574" i="2"/>
  <c r="AM574" i="2"/>
  <c r="AM577" i="2" s="1"/>
  <c r="AM803" i="2" s="1"/>
  <c r="AY574" i="2"/>
  <c r="Y72" i="5"/>
  <c r="AY586" i="2"/>
  <c r="W600" i="2"/>
  <c r="W432" i="2" s="1"/>
  <c r="H616" i="2"/>
  <c r="H69" i="5" s="1"/>
  <c r="N804" i="2"/>
  <c r="Z804" i="2"/>
  <c r="AL804" i="2"/>
  <c r="AZ700" i="2"/>
  <c r="AZ694" i="2"/>
  <c r="AD711" i="2"/>
  <c r="AP711" i="2"/>
  <c r="C804" i="2"/>
  <c r="AA804" i="2"/>
  <c r="AM804" i="2"/>
  <c r="BA700" i="2"/>
  <c r="BA621" i="2" s="1"/>
  <c r="BA694" i="2"/>
  <c r="BA619" i="2" s="1"/>
  <c r="AE711" i="2"/>
  <c r="AQ711" i="2"/>
  <c r="AV661" i="2"/>
  <c r="D804" i="2"/>
  <c r="P804" i="2"/>
  <c r="AB804" i="2"/>
  <c r="BB700" i="2"/>
  <c r="BB621" i="2" s="1"/>
  <c r="BB694" i="2"/>
  <c r="BB619" i="2" s="1"/>
  <c r="AF711" i="2"/>
  <c r="AR711" i="2"/>
  <c r="Y661" i="2"/>
  <c r="Y664" i="2" s="1"/>
  <c r="AK661" i="2"/>
  <c r="AW661" i="2"/>
  <c r="AW664" i="2" s="1"/>
  <c r="E804" i="2"/>
  <c r="Q804" i="2"/>
  <c r="AC804" i="2"/>
  <c r="AO804" i="2"/>
  <c r="BC700" i="2"/>
  <c r="BC621" i="2" s="1"/>
  <c r="BC694" i="2"/>
  <c r="BC619" i="2" s="1"/>
  <c r="AG711" i="2"/>
  <c r="N661" i="2"/>
  <c r="Z661" i="2"/>
  <c r="AL661" i="2"/>
  <c r="AL664" i="2" s="1"/>
  <c r="AY634" i="2"/>
  <c r="AB72" i="5"/>
  <c r="F804" i="2"/>
  <c r="R804" i="2"/>
  <c r="AP804" i="2"/>
  <c r="BD620" i="2"/>
  <c r="AH711" i="2"/>
  <c r="N631" i="2"/>
  <c r="P812" i="2" s="1"/>
  <c r="Z631" i="2"/>
  <c r="AL631" i="2"/>
  <c r="O661" i="2"/>
  <c r="AA661" i="2"/>
  <c r="AM661" i="2"/>
  <c r="AP72" i="5"/>
  <c r="G804" i="2"/>
  <c r="S804" i="2"/>
  <c r="AE804" i="2"/>
  <c r="AQ804" i="2"/>
  <c r="BE700" i="2"/>
  <c r="BE621" i="2" s="1"/>
  <c r="BE694" i="2"/>
  <c r="BE619" i="2" s="1"/>
  <c r="AI711" i="2"/>
  <c r="AY700" i="2"/>
  <c r="C631" i="2"/>
  <c r="C664" i="2" s="1"/>
  <c r="AA631" i="2"/>
  <c r="AM631" i="2"/>
  <c r="P72" i="5"/>
  <c r="H804" i="2"/>
  <c r="AF804" i="2"/>
  <c r="AR804" i="2"/>
  <c r="BF700" i="2"/>
  <c r="BF621" i="2" s="1"/>
  <c r="BF694" i="2"/>
  <c r="BF619" i="2" s="1"/>
  <c r="AJ711" i="2"/>
  <c r="AV711" i="2"/>
  <c r="D631" i="2"/>
  <c r="D664" i="2" s="1"/>
  <c r="P631" i="2"/>
  <c r="AB631" i="2"/>
  <c r="I804" i="2"/>
  <c r="U804" i="2"/>
  <c r="AG804" i="2"/>
  <c r="BG700" i="2"/>
  <c r="BG621" i="2" s="1"/>
  <c r="BG694" i="2"/>
  <c r="BG619" i="2" s="1"/>
  <c r="AK711" i="2"/>
  <c r="E631" i="2"/>
  <c r="E664" i="2" s="1"/>
  <c r="Q631" i="2"/>
  <c r="AC631" i="2"/>
  <c r="AO631" i="2"/>
  <c r="AO664" i="2" s="1"/>
  <c r="AO667" i="2" s="1"/>
  <c r="D72" i="5"/>
  <c r="R72" i="5"/>
  <c r="V804" i="2"/>
  <c r="AH804" i="2"/>
  <c r="AT804" i="2"/>
  <c r="AL711" i="2"/>
  <c r="F631" i="2"/>
  <c r="R631" i="2"/>
  <c r="AP631" i="2"/>
  <c r="AU593" i="2"/>
  <c r="K804" i="2"/>
  <c r="W804" i="2"/>
  <c r="AU804" i="2"/>
  <c r="AA711" i="2"/>
  <c r="AM711" i="2"/>
  <c r="G631" i="2"/>
  <c r="S631" i="2"/>
  <c r="S664" i="2" s="1"/>
  <c r="AE631" i="2"/>
  <c r="AE664" i="2" s="1"/>
  <c r="AQ631" i="2"/>
  <c r="T661" i="2"/>
  <c r="U813" i="2" s="1"/>
  <c r="AF664" i="2"/>
  <c r="AR664" i="2"/>
  <c r="F72" i="5"/>
  <c r="L804" i="2"/>
  <c r="X804" i="2"/>
  <c r="AJ804" i="2"/>
  <c r="AV804" i="2"/>
  <c r="AX700" i="2"/>
  <c r="AX694" i="2"/>
  <c r="AX619" i="2" s="1"/>
  <c r="AB711" i="2"/>
  <c r="H631" i="2"/>
  <c r="H664" i="2" s="1"/>
  <c r="AF631" i="2"/>
  <c r="AJ812" i="2" s="1"/>
  <c r="AR631" i="2"/>
  <c r="M804" i="2"/>
  <c r="AK804" i="2"/>
  <c r="AW804" i="2"/>
  <c r="AC711" i="2"/>
  <c r="AO711" i="2"/>
  <c r="I631" i="2"/>
  <c r="I664" i="2" s="1"/>
  <c r="U631" i="2"/>
  <c r="U664" i="2" s="1"/>
  <c r="AG631" i="2"/>
  <c r="AG664" i="2" s="1"/>
  <c r="AH661" i="2"/>
  <c r="AT661" i="2"/>
  <c r="AT664" i="2" s="1"/>
  <c r="AT800" i="2" s="1"/>
  <c r="AD679" i="2"/>
  <c r="AD687" i="2" s="1"/>
  <c r="G72" i="5"/>
  <c r="S72" i="5"/>
  <c r="AE72" i="5"/>
  <c r="AQ72" i="5"/>
  <c r="AI701" i="2"/>
  <c r="AU701" i="2"/>
  <c r="J749" i="2"/>
  <c r="V96" i="5"/>
  <c r="AJ749" i="2"/>
  <c r="X748" i="2"/>
  <c r="X696" i="2"/>
  <c r="H72" i="5"/>
  <c r="AF72" i="5"/>
  <c r="AR72" i="5"/>
  <c r="AV701" i="2"/>
  <c r="AK96" i="5"/>
  <c r="K748" i="2"/>
  <c r="K696" i="2"/>
  <c r="Y748" i="2"/>
  <c r="Y749" i="2" s="1"/>
  <c r="Y696" i="2"/>
  <c r="AI748" i="2"/>
  <c r="AI696" i="2"/>
  <c r="AI695" i="2" s="1"/>
  <c r="I72" i="5"/>
  <c r="U72" i="5"/>
  <c r="AG72" i="5"/>
  <c r="AK701" i="2"/>
  <c r="AW701" i="2"/>
  <c r="T749" i="2"/>
  <c r="I96" i="5"/>
  <c r="X749" i="2"/>
  <c r="AL749" i="2"/>
  <c r="AK802" i="2" s="1"/>
  <c r="L748" i="2"/>
  <c r="L749" i="2" s="1"/>
  <c r="L696" i="2"/>
  <c r="AD748" i="2"/>
  <c r="AD696" i="2"/>
  <c r="AD695" i="2" s="1"/>
  <c r="V72" i="5"/>
  <c r="AH72" i="5"/>
  <c r="AL701" i="2"/>
  <c r="K749" i="2"/>
  <c r="AM96" i="5"/>
  <c r="M748" i="2"/>
  <c r="M696" i="2"/>
  <c r="K72" i="5"/>
  <c r="W72" i="5"/>
  <c r="AU72" i="5"/>
  <c r="AC695" i="2"/>
  <c r="AO695" i="2"/>
  <c r="AA701" i="2"/>
  <c r="AM701" i="2"/>
  <c r="AD749" i="2"/>
  <c r="Z96" i="5"/>
  <c r="Z97" i="5" s="1"/>
  <c r="Z802" i="2"/>
  <c r="AO96" i="5"/>
  <c r="AO802" i="2"/>
  <c r="N748" i="2"/>
  <c r="N749" i="2" s="1"/>
  <c r="N696" i="2"/>
  <c r="AN748" i="2"/>
  <c r="AN696" i="2"/>
  <c r="AN695" i="2" s="1"/>
  <c r="L72" i="5"/>
  <c r="X72" i="5"/>
  <c r="AJ72" i="5"/>
  <c r="AV72" i="5"/>
  <c r="AP695" i="2"/>
  <c r="AB701" i="2"/>
  <c r="AN701" i="2"/>
  <c r="AI749" i="2"/>
  <c r="M749" i="2"/>
  <c r="AA96" i="5"/>
  <c r="AP96" i="5"/>
  <c r="C748" i="2"/>
  <c r="C696" i="2"/>
  <c r="D692" i="2" s="1"/>
  <c r="O748" i="2"/>
  <c r="O749" i="2" s="1"/>
  <c r="O696" i="2"/>
  <c r="M72" i="5"/>
  <c r="AK72" i="5"/>
  <c r="AW72" i="5"/>
  <c r="AE695" i="2"/>
  <c r="AQ695" i="2"/>
  <c r="AC701" i="2"/>
  <c r="AO701" i="2"/>
  <c r="AN749" i="2"/>
  <c r="AB96" i="5"/>
  <c r="AQ96" i="5"/>
  <c r="AQ802" i="2"/>
  <c r="D748" i="2"/>
  <c r="D696" i="2"/>
  <c r="Q748" i="2"/>
  <c r="Q696" i="2"/>
  <c r="J696" i="2"/>
  <c r="J748" i="2"/>
  <c r="N72" i="5"/>
  <c r="Z72" i="5"/>
  <c r="AL72" i="5"/>
  <c r="AY663" i="2"/>
  <c r="AY72" i="5" s="1"/>
  <c r="AD701" i="2"/>
  <c r="AP701" i="2"/>
  <c r="AC96" i="5"/>
  <c r="AR96" i="5"/>
  <c r="E748" i="2"/>
  <c r="E696" i="2"/>
  <c r="R748" i="2"/>
  <c r="R749" i="2" s="1"/>
  <c r="R696" i="2"/>
  <c r="C72" i="5"/>
  <c r="AA72" i="5"/>
  <c r="AM72" i="5"/>
  <c r="BD72" i="5"/>
  <c r="AQ701" i="2"/>
  <c r="C749" i="2"/>
  <c r="Q749" i="2"/>
  <c r="AE96" i="5"/>
  <c r="AE802" i="2"/>
  <c r="AT96" i="5"/>
  <c r="AT97" i="5" s="1"/>
  <c r="AT802" i="2"/>
  <c r="F748" i="2"/>
  <c r="F696" i="2"/>
  <c r="S748" i="2"/>
  <c r="S696" i="2"/>
  <c r="AF701" i="2"/>
  <c r="AR701" i="2"/>
  <c r="D749" i="2"/>
  <c r="AF96" i="5"/>
  <c r="AF802" i="2"/>
  <c r="AU96" i="5"/>
  <c r="G748" i="2"/>
  <c r="G696" i="2"/>
  <c r="T748" i="2"/>
  <c r="T696" i="2"/>
  <c r="E72" i="5"/>
  <c r="Q72" i="5"/>
  <c r="AC72" i="5"/>
  <c r="AO72" i="5"/>
  <c r="AG701" i="2"/>
  <c r="AS701" i="2"/>
  <c r="E749" i="2"/>
  <c r="S749" i="2"/>
  <c r="AG749" i="2"/>
  <c r="AV749" i="2"/>
  <c r="AU802" i="2" s="1"/>
  <c r="AS696" i="2"/>
  <c r="AS695" i="2" s="1"/>
  <c r="AS748" i="2"/>
  <c r="AS749" i="2" s="1"/>
  <c r="H748" i="2"/>
  <c r="H749" i="2" s="1"/>
  <c r="H696" i="2"/>
  <c r="AH701" i="2"/>
  <c r="F749" i="2"/>
  <c r="U96" i="5"/>
  <c r="AH96" i="5"/>
  <c r="AH802" i="2"/>
  <c r="W748" i="2"/>
  <c r="W749" i="2" s="1"/>
  <c r="W696" i="2"/>
  <c r="AF695" i="2"/>
  <c r="AR695" i="2"/>
  <c r="AO706" i="2"/>
  <c r="AS105" i="5"/>
  <c r="AS106" i="5" s="1"/>
  <c r="AS778" i="2"/>
  <c r="E105" i="5"/>
  <c r="E106" i="5" s="1"/>
  <c r="E778" i="2"/>
  <c r="E788" i="2" s="1"/>
  <c r="R105" i="5"/>
  <c r="R778" i="2"/>
  <c r="AE105" i="5"/>
  <c r="AE106" i="5" s="1"/>
  <c r="AE778" i="2"/>
  <c r="AE788" i="2" s="1"/>
  <c r="AE790" i="2" s="1"/>
  <c r="AG695" i="2"/>
  <c r="AE701" i="2"/>
  <c r="F105" i="5"/>
  <c r="F778" i="2"/>
  <c r="S105" i="5"/>
  <c r="S778" i="2"/>
  <c r="S788" i="2" s="1"/>
  <c r="AF105" i="5"/>
  <c r="AF778" i="2"/>
  <c r="AH695" i="2"/>
  <c r="AE706" i="2"/>
  <c r="G105" i="5"/>
  <c r="G778" i="2"/>
  <c r="U105" i="5"/>
  <c r="U778" i="2"/>
  <c r="U788" i="2" s="1"/>
  <c r="U790" i="2" s="1"/>
  <c r="AG105" i="5"/>
  <c r="AG778" i="2"/>
  <c r="AG788" i="2" s="1"/>
  <c r="AI91" i="5"/>
  <c r="AI92" i="5" s="1"/>
  <c r="H105" i="5"/>
  <c r="H778" i="2"/>
  <c r="V105" i="5"/>
  <c r="V778" i="2"/>
  <c r="AH105" i="5"/>
  <c r="AH778" i="2"/>
  <c r="AH788" i="2" s="1"/>
  <c r="AH790" i="2" s="1"/>
  <c r="AN91" i="5"/>
  <c r="AJ695" i="2"/>
  <c r="AV695" i="2"/>
  <c r="AT701" i="2"/>
  <c r="AW748" i="2"/>
  <c r="AW749" i="2" s="1"/>
  <c r="I105" i="5"/>
  <c r="I778" i="2"/>
  <c r="W105" i="5"/>
  <c r="W778" i="2"/>
  <c r="AD777" i="2"/>
  <c r="AS91" i="5"/>
  <c r="AS788" i="2"/>
  <c r="AK695" i="2"/>
  <c r="J763" i="2"/>
  <c r="X105" i="5"/>
  <c r="X778" i="2"/>
  <c r="AJ105" i="5"/>
  <c r="AJ106" i="5" s="1"/>
  <c r="AJ778" i="2"/>
  <c r="AI777" i="2"/>
  <c r="AL695" i="2"/>
  <c r="AJ701" i="2"/>
  <c r="O105" i="5"/>
  <c r="O106" i="5" s="1"/>
  <c r="O778" i="2"/>
  <c r="K105" i="5"/>
  <c r="K106" i="5" s="1"/>
  <c r="K778" i="2"/>
  <c r="AK105" i="5"/>
  <c r="AK778" i="2"/>
  <c r="AN777" i="2"/>
  <c r="AA695" i="2"/>
  <c r="AM695" i="2"/>
  <c r="P740" i="2"/>
  <c r="T763" i="2"/>
  <c r="L105" i="5"/>
  <c r="L778" i="2"/>
  <c r="Z105" i="5"/>
  <c r="Z778" i="2"/>
  <c r="Z788" i="2" s="1"/>
  <c r="Z790" i="2" s="1"/>
  <c r="AL105" i="5"/>
  <c r="AL778" i="2"/>
  <c r="AL788" i="2" s="1"/>
  <c r="AB695" i="2"/>
  <c r="Y763" i="2"/>
  <c r="M105" i="5"/>
  <c r="M778" i="2"/>
  <c r="M788" i="2" s="1"/>
  <c r="AA105" i="5"/>
  <c r="AA778" i="2"/>
  <c r="AM105" i="5"/>
  <c r="AM778" i="2"/>
  <c r="AX777" i="2"/>
  <c r="AO707" i="2"/>
  <c r="AD763" i="2"/>
  <c r="N105" i="5"/>
  <c r="N778" i="2"/>
  <c r="AB105" i="5"/>
  <c r="AB778" i="2"/>
  <c r="AB788" i="2" s="1"/>
  <c r="AB790" i="2" s="1"/>
  <c r="AY777" i="2"/>
  <c r="J91" i="5"/>
  <c r="J92" i="5" s="1"/>
  <c r="AI763" i="2"/>
  <c r="C105" i="5"/>
  <c r="C106" i="5" s="1"/>
  <c r="C778" i="2"/>
  <c r="P105" i="5"/>
  <c r="P106" i="5" s="1"/>
  <c r="P778" i="2"/>
  <c r="AC105" i="5"/>
  <c r="AC778" i="2"/>
  <c r="AC788" i="2" s="1"/>
  <c r="AC790" i="2" s="1"/>
  <c r="AO105" i="5"/>
  <c r="AO778" i="2"/>
  <c r="AZ777" i="2"/>
  <c r="O91" i="5"/>
  <c r="O92" i="5" s="1"/>
  <c r="O788" i="2"/>
  <c r="AN763" i="2"/>
  <c r="D105" i="5"/>
  <c r="D106" i="5" s="1"/>
  <c r="D778" i="2"/>
  <c r="Q105" i="5"/>
  <c r="Q106" i="5" s="1"/>
  <c r="Q778" i="2"/>
  <c r="Q788" i="2" s="1"/>
  <c r="T91" i="5"/>
  <c r="AT106" i="5"/>
  <c r="Q92" i="5"/>
  <c r="AD786" i="2"/>
  <c r="D788" i="2"/>
  <c r="P788" i="2"/>
  <c r="AU106" i="5"/>
  <c r="BA766" i="2"/>
  <c r="AO788" i="2"/>
  <c r="AO790" i="2" s="1"/>
  <c r="AV106" i="5"/>
  <c r="AP778" i="2"/>
  <c r="S92" i="5"/>
  <c r="F788" i="2"/>
  <c r="R788" i="2"/>
  <c r="AP788" i="2"/>
  <c r="AP790" i="2" s="1"/>
  <c r="AW106" i="5"/>
  <c r="AQ778" i="2"/>
  <c r="G788" i="2"/>
  <c r="G790" i="2" s="1"/>
  <c r="AQ788" i="2"/>
  <c r="AQ790" i="2" s="1"/>
  <c r="AR778" i="2"/>
  <c r="AR788" i="2" s="1"/>
  <c r="AR790" i="2" s="1"/>
  <c r="H788" i="2"/>
  <c r="AF788" i="2"/>
  <c r="AF790" i="2" s="1"/>
  <c r="AU92" i="5"/>
  <c r="I788" i="2"/>
  <c r="I790" i="2" s="1"/>
  <c r="AT778" i="2"/>
  <c r="AT788" i="2" s="1"/>
  <c r="AT790" i="2" s="1"/>
  <c r="K92" i="5"/>
  <c r="AJ92" i="5"/>
  <c r="V788" i="2"/>
  <c r="V790" i="2" s="1"/>
  <c r="AU778" i="2"/>
  <c r="L92" i="5"/>
  <c r="AK92" i="5"/>
  <c r="K788" i="2"/>
  <c r="W788" i="2"/>
  <c r="AU788" i="2"/>
  <c r="AU790" i="2" s="1"/>
  <c r="AV778" i="2"/>
  <c r="AV788" i="2" s="1"/>
  <c r="M92" i="5"/>
  <c r="Y92" i="5"/>
  <c r="AL92" i="5"/>
  <c r="L788" i="2"/>
  <c r="X788" i="2"/>
  <c r="AJ788" i="2"/>
  <c r="AW778" i="2"/>
  <c r="N92" i="5"/>
  <c r="AA92" i="5"/>
  <c r="AM92" i="5"/>
  <c r="AK788" i="2"/>
  <c r="AK790" i="2" s="1"/>
  <c r="AW788" i="2"/>
  <c r="AB92" i="5"/>
  <c r="N788" i="2"/>
  <c r="P92" i="5"/>
  <c r="AC92" i="5"/>
  <c r="AO92" i="5"/>
  <c r="C788" i="2"/>
  <c r="AA788" i="2"/>
  <c r="AA790" i="2" s="1"/>
  <c r="AM788" i="2"/>
  <c r="AM790" i="2" s="1"/>
  <c r="AD26" i="7"/>
  <c r="Z28" i="7"/>
  <c r="AS28" i="7"/>
  <c r="Z76" i="7"/>
  <c r="Z77" i="7" s="1"/>
  <c r="AA75" i="7" s="1"/>
  <c r="Y27" i="7"/>
  <c r="AB28" i="7"/>
  <c r="AD27" i="7"/>
  <c r="AC28" i="7"/>
  <c r="AE28" i="7"/>
  <c r="Z78" i="7"/>
  <c r="Z80" i="7" s="1"/>
  <c r="AS24" i="7"/>
  <c r="Y28" i="7"/>
  <c r="AG28" i="7"/>
  <c r="AD42" i="7"/>
  <c r="AC50" i="7"/>
  <c r="AH28" i="7"/>
  <c r="Y22" i="7"/>
  <c r="Y24" i="7" s="1"/>
  <c r="U28" i="7"/>
  <c r="G7" i="7"/>
  <c r="G13" i="7" s="1"/>
  <c r="H7" i="7" s="1"/>
  <c r="H13" i="7" s="1"/>
  <c r="I7" i="7" s="1"/>
  <c r="I13" i="7" s="1"/>
  <c r="J7" i="7" s="1"/>
  <c r="J13" i="7" s="1"/>
  <c r="K7" i="7"/>
  <c r="K13" i="7" s="1"/>
  <c r="AD23" i="7"/>
  <c r="Y26" i="7"/>
  <c r="AL28" i="7"/>
  <c r="L42" i="7"/>
  <c r="P42" i="7"/>
  <c r="AA22" i="7"/>
  <c r="AA28" i="7" s="1"/>
  <c r="AM22" i="7"/>
  <c r="L76" i="7"/>
  <c r="X76" i="7"/>
  <c r="AN21" i="7"/>
  <c r="AB22" i="7"/>
  <c r="AN22" i="7"/>
  <c r="AN27" i="7" s="1"/>
  <c r="AS23" i="7"/>
  <c r="AS29" i="7" s="1"/>
  <c r="AC22" i="7"/>
  <c r="AO22" i="7"/>
  <c r="AT23" i="7"/>
  <c r="N76" i="7"/>
  <c r="K78" i="7"/>
  <c r="W78" i="7"/>
  <c r="AD21" i="7"/>
  <c r="AD22" i="7"/>
  <c r="AD24" i="7" s="1"/>
  <c r="AU23" i="7"/>
  <c r="Y25" i="7"/>
  <c r="AP28" i="7"/>
  <c r="AP29" i="7" s="1"/>
  <c r="K22" i="7"/>
  <c r="K28" i="7" s="1"/>
  <c r="AE22" i="7"/>
  <c r="AV23" i="7"/>
  <c r="AV29" i="7" s="1"/>
  <c r="AQ28" i="7"/>
  <c r="AQ29" i="7" s="1"/>
  <c r="P22" i="7"/>
  <c r="P28" i="7" s="1"/>
  <c r="AF22" i="7"/>
  <c r="Y23" i="7"/>
  <c r="AW23" i="7"/>
  <c r="AW29" i="7" s="1"/>
  <c r="AP24" i="7"/>
  <c r="AR28" i="7"/>
  <c r="AR29" i="7" s="1"/>
  <c r="E76" i="7"/>
  <c r="Q76" i="7"/>
  <c r="U22" i="7"/>
  <c r="AG22" i="7"/>
  <c r="AQ24" i="7"/>
  <c r="V22" i="7"/>
  <c r="AH22" i="7"/>
  <c r="AT28" i="7"/>
  <c r="AI21" i="7"/>
  <c r="W22" i="7"/>
  <c r="AU28" i="7"/>
  <c r="H76" i="7"/>
  <c r="X22" i="7"/>
  <c r="AJ22" i="7"/>
  <c r="AV28" i="7"/>
  <c r="AK22" i="7"/>
  <c r="Z22" i="7"/>
  <c r="AL22" i="7"/>
  <c r="Z92" i="5"/>
  <c r="E858" i="2"/>
  <c r="E872" i="2"/>
  <c r="E865" i="2"/>
  <c r="C858" i="2"/>
  <c r="C872" i="2"/>
  <c r="C865" i="2"/>
  <c r="D858" i="2"/>
  <c r="D872" i="2"/>
  <c r="D865" i="2"/>
  <c r="Y96" i="5" l="1"/>
  <c r="Y802" i="2"/>
  <c r="AA802" i="2"/>
  <c r="AO803" i="2"/>
  <c r="AO672" i="2"/>
  <c r="AP666" i="2"/>
  <c r="AJ26" i="7"/>
  <c r="AJ24" i="7"/>
  <c r="AJ27" i="7"/>
  <c r="AJ23" i="7"/>
  <c r="AJ25" i="7"/>
  <c r="AJ28" i="7"/>
  <c r="R692" i="2"/>
  <c r="L96" i="5"/>
  <c r="L802" i="2"/>
  <c r="L790" i="2"/>
  <c r="AO812" i="2"/>
  <c r="N664" i="2"/>
  <c r="P813" i="2"/>
  <c r="J432" i="2"/>
  <c r="J616" i="2"/>
  <c r="J69" i="5" s="1"/>
  <c r="K810" i="2"/>
  <c r="AV115" i="5"/>
  <c r="AQ66" i="5"/>
  <c r="AQ73" i="5" s="1"/>
  <c r="AQ131" i="5" s="1"/>
  <c r="AQ76" i="5"/>
  <c r="AQ78" i="5" s="1"/>
  <c r="Y257" i="2"/>
  <c r="Y348" i="2"/>
  <c r="W26" i="7"/>
  <c r="W24" i="7"/>
  <c r="W27" i="7"/>
  <c r="W23" i="7"/>
  <c r="W28" i="7"/>
  <c r="T92" i="5"/>
  <c r="X92" i="5"/>
  <c r="W92" i="5"/>
  <c r="V92" i="5"/>
  <c r="AC106" i="5"/>
  <c r="U106" i="5"/>
  <c r="AH664" i="2"/>
  <c r="AJ813" i="2"/>
  <c r="U812" i="2"/>
  <c r="Q664" i="2"/>
  <c r="AQ577" i="2"/>
  <c r="AL101" i="5"/>
  <c r="Y29" i="7"/>
  <c r="AM23" i="7"/>
  <c r="AM25" i="7"/>
  <c r="AM26" i="7"/>
  <c r="AM24" i="7"/>
  <c r="AM27" i="7"/>
  <c r="AN92" i="5"/>
  <c r="AQ92" i="5"/>
  <c r="AP92" i="5"/>
  <c r="Q96" i="5"/>
  <c r="Q790" i="2"/>
  <c r="Q802" i="2"/>
  <c r="V802" i="2"/>
  <c r="H800" i="2"/>
  <c r="AP577" i="2"/>
  <c r="M115" i="5"/>
  <c r="H66" i="5"/>
  <c r="H73" i="5" s="1"/>
  <c r="H131" i="5" s="1"/>
  <c r="H76" i="5"/>
  <c r="H78" i="5" s="1"/>
  <c r="E115" i="5"/>
  <c r="D66" i="5"/>
  <c r="D73" i="5" s="1"/>
  <c r="D131" i="5" s="1"/>
  <c r="D76" i="5"/>
  <c r="D78" i="5" s="1"/>
  <c r="AD35" i="5"/>
  <c r="AD54" i="5"/>
  <c r="AD53" i="5"/>
  <c r="AD55" i="5"/>
  <c r="AG246" i="2"/>
  <c r="AG248" i="2"/>
  <c r="AF25" i="7"/>
  <c r="AF26" i="7"/>
  <c r="AF24" i="7"/>
  <c r="AF27" i="7"/>
  <c r="AF23" i="7"/>
  <c r="AF29" i="7" s="1"/>
  <c r="AF28" i="7"/>
  <c r="H96" i="5"/>
  <c r="G802" i="2"/>
  <c r="H802" i="2"/>
  <c r="H790" i="2"/>
  <c r="C96" i="5"/>
  <c r="C97" i="5" s="1"/>
  <c r="C790" i="2"/>
  <c r="C802" i="2"/>
  <c r="P692" i="2"/>
  <c r="L692" i="2"/>
  <c r="K695" i="2"/>
  <c r="I802" i="2"/>
  <c r="N694" i="2"/>
  <c r="N711" i="2"/>
  <c r="Z115" i="5"/>
  <c r="U76" i="5"/>
  <c r="U78" i="5" s="1"/>
  <c r="U66" i="5"/>
  <c r="U73" i="5" s="1"/>
  <c r="U131" i="5" s="1"/>
  <c r="AT115" i="5"/>
  <c r="AO66" i="5"/>
  <c r="AO73" i="5" s="1"/>
  <c r="AO131" i="5" s="1"/>
  <c r="AO76" i="5"/>
  <c r="AO78" i="5" s="1"/>
  <c r="P49" i="7"/>
  <c r="AA77" i="7"/>
  <c r="AA78" i="7" s="1"/>
  <c r="AS92" i="5"/>
  <c r="AW92" i="5"/>
  <c r="AV92" i="5"/>
  <c r="W96" i="5"/>
  <c r="W802" i="2"/>
  <c r="W790" i="2"/>
  <c r="AB802" i="2"/>
  <c r="AS96" i="5"/>
  <c r="AS97" i="5" s="1"/>
  <c r="AS802" i="2"/>
  <c r="AS790" i="2"/>
  <c r="AR802" i="2"/>
  <c r="O96" i="5"/>
  <c r="O790" i="2"/>
  <c r="O802" i="2"/>
  <c r="S115" i="5"/>
  <c r="N66" i="5"/>
  <c r="N73" i="5" s="1"/>
  <c r="N131" i="5" s="1"/>
  <c r="N76" i="5"/>
  <c r="N78" i="5" s="1"/>
  <c r="AK66" i="5"/>
  <c r="AK73" i="5" s="1"/>
  <c r="AK76" i="5"/>
  <c r="AK78" i="5" s="1"/>
  <c r="AL115" i="5"/>
  <c r="AG76" i="5"/>
  <c r="AG78" i="5" s="1"/>
  <c r="AG66" i="5"/>
  <c r="AG73" i="5" s="1"/>
  <c r="AG131" i="5" s="1"/>
  <c r="D115" i="5"/>
  <c r="C66" i="5"/>
  <c r="C73" i="5" s="1"/>
  <c r="AT103" i="5"/>
  <c r="AT104" i="5" s="1"/>
  <c r="AT396" i="2"/>
  <c r="AT404" i="2"/>
  <c r="AT391" i="2"/>
  <c r="AT322" i="2"/>
  <c r="AT56" i="5" s="1"/>
  <c r="AT798" i="2"/>
  <c r="AT797" i="2"/>
  <c r="AW111" i="5"/>
  <c r="AR35" i="5"/>
  <c r="AR53" i="5"/>
  <c r="AL23" i="7"/>
  <c r="AL29" i="7" s="1"/>
  <c r="AL25" i="7"/>
  <c r="AL26" i="7"/>
  <c r="AL24" i="7"/>
  <c r="AL27" i="7"/>
  <c r="V26" i="7"/>
  <c r="V24" i="7"/>
  <c r="V27" i="7"/>
  <c r="V23" i="7"/>
  <c r="V28" i="7"/>
  <c r="AM106" i="5"/>
  <c r="D706" i="2"/>
  <c r="D704" i="2"/>
  <c r="AE800" i="2"/>
  <c r="AD62" i="5"/>
  <c r="AD433" i="2"/>
  <c r="AD446" i="2"/>
  <c r="AD447" i="2" s="1"/>
  <c r="AD448" i="2" s="1"/>
  <c r="AD449" i="2" s="1"/>
  <c r="N115" i="5"/>
  <c r="I76" i="5"/>
  <c r="I78" i="5" s="1"/>
  <c r="I66" i="5"/>
  <c r="I73" i="5" s="1"/>
  <c r="I131" i="5" s="1"/>
  <c r="AH115" i="5"/>
  <c r="AC66" i="5"/>
  <c r="AC73" i="5" s="1"/>
  <c r="AC131" i="5" s="1"/>
  <c r="AC76" i="5"/>
  <c r="AC78" i="5" s="1"/>
  <c r="AM27" i="5"/>
  <c r="AM26" i="2"/>
  <c r="AO23" i="7"/>
  <c r="AO25" i="7"/>
  <c r="AO26" i="7"/>
  <c r="AO24" i="7"/>
  <c r="AO27" i="7"/>
  <c r="AO28" i="7"/>
  <c r="AN105" i="5"/>
  <c r="AN778" i="2"/>
  <c r="AN788" i="2" s="1"/>
  <c r="AN790" i="2" s="1"/>
  <c r="AI105" i="5"/>
  <c r="AI106" i="5" s="1"/>
  <c r="AI778" i="2"/>
  <c r="AI788" i="2" s="1"/>
  <c r="AT672" i="2"/>
  <c r="AU666" i="2"/>
  <c r="AY666" i="2"/>
  <c r="AC99" i="5"/>
  <c r="AC100" i="5" s="1"/>
  <c r="AC101" i="5" s="1"/>
  <c r="AC84" i="5"/>
  <c r="R432" i="2"/>
  <c r="R616" i="2"/>
  <c r="L69" i="5"/>
  <c r="N462" i="2"/>
  <c r="AW694" i="2"/>
  <c r="AW695" i="2" s="1"/>
  <c r="AW711" i="2"/>
  <c r="AQ115" i="5"/>
  <c r="AL66" i="5"/>
  <c r="AL73" i="5" s="1"/>
  <c r="AL131" i="5" s="1"/>
  <c r="AL76" i="5"/>
  <c r="AL78" i="5" s="1"/>
  <c r="AY204" i="2"/>
  <c r="AY205" i="2" s="1"/>
  <c r="AN27" i="5"/>
  <c r="AN115" i="2"/>
  <c r="AN114" i="2"/>
  <c r="AN26" i="2"/>
  <c r="AK27" i="7"/>
  <c r="AK23" i="7"/>
  <c r="AK25" i="7"/>
  <c r="AK26" i="7"/>
  <c r="AK24" i="7"/>
  <c r="AK28" i="7"/>
  <c r="AG25" i="7"/>
  <c r="AG26" i="7"/>
  <c r="AG24" i="7"/>
  <c r="AG27" i="7"/>
  <c r="AG23" i="7"/>
  <c r="AE23" i="7"/>
  <c r="AE29" i="7" s="1"/>
  <c r="AE25" i="7"/>
  <c r="AE26" i="7"/>
  <c r="AE24" i="7"/>
  <c r="AE27" i="7"/>
  <c r="AM28" i="7"/>
  <c r="AN96" i="5"/>
  <c r="AN802" i="2"/>
  <c r="AM802" i="2"/>
  <c r="AP802" i="2"/>
  <c r="K812" i="2"/>
  <c r="G664" i="2"/>
  <c r="G800" i="2" s="1"/>
  <c r="AV664" i="2"/>
  <c r="V69" i="5"/>
  <c r="V664" i="2"/>
  <c r="Q84" i="5"/>
  <c r="Q99" i="5"/>
  <c r="Q100" i="5" s="1"/>
  <c r="Q101" i="5" s="1"/>
  <c r="AT577" i="2"/>
  <c r="AU576" i="2" s="1"/>
  <c r="AV576" i="2" s="1"/>
  <c r="AW576" i="2" s="1"/>
  <c r="AW577" i="2" s="1"/>
  <c r="AT810" i="2"/>
  <c r="AP432" i="2"/>
  <c r="AP616" i="2"/>
  <c r="AW66" i="5"/>
  <c r="AW73" i="5" s="1"/>
  <c r="AW131" i="5" s="1"/>
  <c r="AW76" i="5"/>
  <c r="AW78" i="5" s="1"/>
  <c r="AV66" i="5"/>
  <c r="AV73" i="5" s="1"/>
  <c r="AV131" i="5" s="1"/>
  <c r="AV76" i="5"/>
  <c r="AV78" i="5" s="1"/>
  <c r="AU694" i="2"/>
  <c r="AU711" i="2"/>
  <c r="AY711" i="2" s="1"/>
  <c r="AW115" i="5"/>
  <c r="AR66" i="5"/>
  <c r="AR73" i="5" s="1"/>
  <c r="AR131" i="5" s="1"/>
  <c r="AR76" i="5"/>
  <c r="AR78" i="5" s="1"/>
  <c r="Q66" i="5"/>
  <c r="Q76" i="5"/>
  <c r="Q78" i="5" s="1"/>
  <c r="AD111" i="5"/>
  <c r="Y35" i="5"/>
  <c r="Y53" i="5"/>
  <c r="Y54" i="5"/>
  <c r="Y55" i="5"/>
  <c r="AW209" i="2"/>
  <c r="AW207" i="2"/>
  <c r="Y27" i="5"/>
  <c r="Y26" i="2"/>
  <c r="Y115" i="2"/>
  <c r="AD115" i="2"/>
  <c r="AI22" i="7"/>
  <c r="H692" i="2"/>
  <c r="M100" i="5"/>
  <c r="M101" i="5" s="1"/>
  <c r="AT76" i="5"/>
  <c r="AT78" i="5" s="1"/>
  <c r="AT66" i="5"/>
  <c r="AT73" i="5" s="1"/>
  <c r="AT131" i="5" s="1"/>
  <c r="AF348" i="2"/>
  <c r="AF257" i="2"/>
  <c r="AK209" i="2"/>
  <c r="AK207" i="2"/>
  <c r="AP207" i="2"/>
  <c r="AS158" i="2"/>
  <c r="AX157" i="2"/>
  <c r="BC157" i="2" s="1"/>
  <c r="AN23" i="7"/>
  <c r="AN25" i="7"/>
  <c r="AN26" i="7"/>
  <c r="AN24" i="7"/>
  <c r="S692" i="2"/>
  <c r="AO813" i="2"/>
  <c r="AK664" i="2"/>
  <c r="AV462" i="2"/>
  <c r="E66" i="5"/>
  <c r="E73" i="5" s="1"/>
  <c r="E131" i="5" s="1"/>
  <c r="E76" i="5"/>
  <c r="E78" i="5" s="1"/>
  <c r="AV35" i="5"/>
  <c r="AV53" i="5"/>
  <c r="AV54" i="5"/>
  <c r="AV55" i="5"/>
  <c r="M246" i="2"/>
  <c r="M248" i="2"/>
  <c r="X26" i="7"/>
  <c r="X24" i="7"/>
  <c r="X27" i="7"/>
  <c r="X23" i="7"/>
  <c r="X28" i="7"/>
  <c r="AB106" i="5"/>
  <c r="Y105" i="5"/>
  <c r="Y106" i="5" s="1"/>
  <c r="Y778" i="2"/>
  <c r="Y788" i="2" s="1"/>
  <c r="Y790" i="2" s="1"/>
  <c r="AW96" i="5"/>
  <c r="AW790" i="2"/>
  <c r="R96" i="5"/>
  <c r="R97" i="5" s="1"/>
  <c r="R790" i="2"/>
  <c r="R802" i="2"/>
  <c r="N96" i="5"/>
  <c r="N802" i="2"/>
  <c r="N790" i="2"/>
  <c r="C800" i="2"/>
  <c r="C667" i="2"/>
  <c r="AR99" i="5"/>
  <c r="AR84" i="5"/>
  <c r="AL576" i="2"/>
  <c r="AK577" i="2"/>
  <c r="AM115" i="5"/>
  <c r="AH76" i="5"/>
  <c r="AH78" i="5" s="1"/>
  <c r="AH66" i="5"/>
  <c r="AH73" i="5" s="1"/>
  <c r="AH131" i="5" s="1"/>
  <c r="AK115" i="5"/>
  <c r="AF66" i="5"/>
  <c r="AF76" i="5"/>
  <c r="AF78" i="5" s="1"/>
  <c r="D871" i="2"/>
  <c r="D862" i="2"/>
  <c r="D860" i="2" s="1"/>
  <c r="D482" i="2" s="1"/>
  <c r="D857" i="2"/>
  <c r="D869" i="2"/>
  <c r="D867" i="2" s="1"/>
  <c r="D864" i="2"/>
  <c r="D855" i="2"/>
  <c r="D853" i="2" s="1"/>
  <c r="D481" i="2" s="1"/>
  <c r="AR92" i="5"/>
  <c r="AO106" i="5"/>
  <c r="D800" i="2"/>
  <c r="AP99" i="5"/>
  <c r="AP100" i="5" s="1"/>
  <c r="AP101" i="5" s="1"/>
  <c r="AP84" i="5"/>
  <c r="M462" i="2"/>
  <c r="P348" i="2"/>
  <c r="P257" i="2"/>
  <c r="X348" i="2"/>
  <c r="X257" i="2"/>
  <c r="AT217" i="2"/>
  <c r="AT218" i="2" s="1"/>
  <c r="AE217" i="2"/>
  <c r="AE218" i="2" s="1"/>
  <c r="AA190" i="2"/>
  <c r="AA191" i="2" s="1"/>
  <c r="AV271" i="2"/>
  <c r="BA270" i="2"/>
  <c r="AV190" i="2"/>
  <c r="AV191" i="2" s="1"/>
  <c r="AS217" i="2"/>
  <c r="AS218" i="2" s="1"/>
  <c r="AU250" i="2"/>
  <c r="AU190" i="2"/>
  <c r="D23" i="5"/>
  <c r="D230" i="2"/>
  <c r="D232" i="2"/>
  <c r="AC315" i="2"/>
  <c r="AC192" i="2"/>
  <c r="AT65" i="2"/>
  <c r="AT10" i="2"/>
  <c r="AI27" i="5"/>
  <c r="AI26" i="2"/>
  <c r="AW185" i="2"/>
  <c r="AW25" i="5"/>
  <c r="AW12" i="2"/>
  <c r="AX11" i="2"/>
  <c r="AW11" i="2"/>
  <c r="AT185" i="2"/>
  <c r="AY65" i="2"/>
  <c r="AY10" i="2"/>
  <c r="BF200" i="2"/>
  <c r="X51" i="2"/>
  <c r="X17" i="5" s="1"/>
  <c r="X50" i="2"/>
  <c r="BA767" i="2"/>
  <c r="BB454" i="2"/>
  <c r="AQ462" i="2"/>
  <c r="AD462" i="2"/>
  <c r="E462" i="2"/>
  <c r="E463" i="2" s="1"/>
  <c r="E459" i="2"/>
  <c r="M257" i="2"/>
  <c r="M348" i="2"/>
  <c r="T348" i="2"/>
  <c r="T257" i="2"/>
  <c r="M103" i="5"/>
  <c r="M391" i="2"/>
  <c r="M396" i="2"/>
  <c r="M404" i="2"/>
  <c r="M322" i="2"/>
  <c r="M56" i="5" s="1"/>
  <c r="AI384" i="2"/>
  <c r="AI256" i="2"/>
  <c r="Q111" i="5"/>
  <c r="L35" i="5"/>
  <c r="V103" i="5"/>
  <c r="V396" i="2"/>
  <c r="V404" i="2"/>
  <c r="V391" i="2"/>
  <c r="V322" i="2"/>
  <c r="V56" i="5" s="1"/>
  <c r="AI381" i="2"/>
  <c r="AM675" i="2" s="1"/>
  <c r="AI343" i="2"/>
  <c r="AI255" i="2"/>
  <c r="AI34" i="5"/>
  <c r="AI273" i="2"/>
  <c r="AG358" i="2"/>
  <c r="AG356" i="2"/>
  <c r="AF103" i="5"/>
  <c r="AF396" i="2"/>
  <c r="AF404" i="2"/>
  <c r="AF391" i="2"/>
  <c r="AF322" i="2"/>
  <c r="AF56" i="5" s="1"/>
  <c r="T683" i="2"/>
  <c r="X111" i="5"/>
  <c r="S35" i="5"/>
  <c r="R103" i="5"/>
  <c r="R396" i="2"/>
  <c r="R404" i="2"/>
  <c r="R391" i="2"/>
  <c r="R322" i="2"/>
  <c r="R56" i="5" s="1"/>
  <c r="AT111" i="5"/>
  <c r="AO35" i="5"/>
  <c r="P30" i="5"/>
  <c r="P680" i="2"/>
  <c r="P677" i="2"/>
  <c r="P679" i="2"/>
  <c r="P681" i="2"/>
  <c r="P676" i="2"/>
  <c r="P678" i="2"/>
  <c r="P675" i="2"/>
  <c r="P385" i="2"/>
  <c r="P390" i="2" s="1"/>
  <c r="P320" i="2"/>
  <c r="P805" i="2" s="1"/>
  <c r="P312" i="2"/>
  <c r="P317" i="2" s="1"/>
  <c r="P321" i="2"/>
  <c r="P326" i="2"/>
  <c r="AH217" i="2"/>
  <c r="AH218" i="2" s="1"/>
  <c r="AH232" i="2"/>
  <c r="AP190" i="2"/>
  <c r="AP191" i="2" s="1"/>
  <c r="AO217" i="2"/>
  <c r="AO218" i="2" s="1"/>
  <c r="R361" i="2"/>
  <c r="R368" i="2" s="1"/>
  <c r="O250" i="2"/>
  <c r="O190" i="2"/>
  <c r="O191" i="2" s="1"/>
  <c r="AJ190" i="2"/>
  <c r="AJ191" i="2" s="1"/>
  <c r="AL233" i="2"/>
  <c r="J27" i="5"/>
  <c r="J114" i="2"/>
  <c r="J26" i="2"/>
  <c r="AM23" i="5"/>
  <c r="AM231" i="2"/>
  <c r="AM229" i="2"/>
  <c r="Y251" i="2"/>
  <c r="AD316" i="2"/>
  <c r="AD219" i="2"/>
  <c r="AS245" i="2"/>
  <c r="AS251" i="2" s="1"/>
  <c r="Q315" i="2"/>
  <c r="AO181" i="2"/>
  <c r="AO127" i="2"/>
  <c r="AO13" i="5" s="1"/>
  <c r="AY144" i="2"/>
  <c r="K190" i="2"/>
  <c r="K191" i="2" s="1"/>
  <c r="AB233" i="2"/>
  <c r="D248" i="2"/>
  <c r="D252" i="2" s="1"/>
  <c r="D245" i="2"/>
  <c r="D246" i="2" s="1"/>
  <c r="D129" i="2"/>
  <c r="D130" i="2" s="1"/>
  <c r="AF23" i="5"/>
  <c r="AF232" i="2"/>
  <c r="AI181" i="2"/>
  <c r="AI126" i="2"/>
  <c r="AI127" i="2"/>
  <c r="AI13" i="5" s="1"/>
  <c r="AI130" i="2"/>
  <c r="AK27" i="5"/>
  <c r="AK114" i="2"/>
  <c r="AK26" i="2"/>
  <c r="AK25" i="5"/>
  <c r="AK12" i="2"/>
  <c r="AL11" i="2"/>
  <c r="AK11" i="2"/>
  <c r="AZ107" i="2"/>
  <c r="AZ64" i="2"/>
  <c r="AZ65" i="2"/>
  <c r="AZ10" i="2"/>
  <c r="AK50" i="2"/>
  <c r="AK51" i="2"/>
  <c r="AK17" i="5" s="1"/>
  <c r="W50" i="2"/>
  <c r="W51" i="2"/>
  <c r="W17" i="5" s="1"/>
  <c r="AQ50" i="2"/>
  <c r="AQ51" i="2"/>
  <c r="AQ17" i="5" s="1"/>
  <c r="Q51" i="2"/>
  <c r="Q17" i="5" s="1"/>
  <c r="Q50" i="2"/>
  <c r="Z51" i="2"/>
  <c r="Z17" i="5" s="1"/>
  <c r="AU29" i="7"/>
  <c r="AB23" i="7"/>
  <c r="AB29" i="7" s="1"/>
  <c r="AB26" i="7"/>
  <c r="AB24" i="7"/>
  <c r="AB27" i="7"/>
  <c r="T105" i="5"/>
  <c r="T106" i="5" s="1"/>
  <c r="T778" i="2"/>
  <c r="T788" i="2" s="1"/>
  <c r="S106" i="5"/>
  <c r="I692" i="2"/>
  <c r="T692" i="2"/>
  <c r="F692" i="2"/>
  <c r="E695" i="2"/>
  <c r="K96" i="5"/>
  <c r="K802" i="2"/>
  <c r="K790" i="2"/>
  <c r="AE812" i="2"/>
  <c r="BC804" i="2"/>
  <c r="BC631" i="2"/>
  <c r="AJ664" i="2"/>
  <c r="AO800" i="2" s="1"/>
  <c r="AF99" i="5"/>
  <c r="AF100" i="5" s="1"/>
  <c r="AF84" i="5"/>
  <c r="G69" i="5"/>
  <c r="K811" i="2"/>
  <c r="AD99" i="5"/>
  <c r="AD100" i="5" s="1"/>
  <c r="AD84" i="5"/>
  <c r="E84" i="5"/>
  <c r="E99" i="5"/>
  <c r="E100" i="5" s="1"/>
  <c r="E101" i="5" s="1"/>
  <c r="E83" i="5"/>
  <c r="E467" i="2"/>
  <c r="E466" i="2"/>
  <c r="AE810" i="2"/>
  <c r="G66" i="5"/>
  <c r="G76" i="5"/>
  <c r="G78" i="5" s="1"/>
  <c r="AH678" i="2"/>
  <c r="AH686" i="2" s="1"/>
  <c r="AW103" i="5"/>
  <c r="AW391" i="2"/>
  <c r="AW396" i="2"/>
  <c r="AW404" i="2"/>
  <c r="AW322" i="2"/>
  <c r="AW56" i="5" s="1"/>
  <c r="W348" i="2"/>
  <c r="W257" i="2"/>
  <c r="AW53" i="5"/>
  <c r="J462" i="2"/>
  <c r="F103" i="5"/>
  <c r="F104" i="5" s="1"/>
  <c r="F396" i="2"/>
  <c r="F404" i="2"/>
  <c r="F391" i="2"/>
  <c r="F322" i="2"/>
  <c r="F56" i="5" s="1"/>
  <c r="AC103" i="5"/>
  <c r="AC396" i="2"/>
  <c r="AC404" i="2"/>
  <c r="AC391" i="2"/>
  <c r="AC322" i="2"/>
  <c r="AC56" i="5" s="1"/>
  <c r="Q689" i="2"/>
  <c r="C103" i="5"/>
  <c r="C104" i="5" s="1"/>
  <c r="C396" i="2"/>
  <c r="C404" i="2"/>
  <c r="C391" i="2"/>
  <c r="C322" i="2"/>
  <c r="C56" i="5" s="1"/>
  <c r="AM677" i="2"/>
  <c r="AF111" i="5"/>
  <c r="AA35" i="5"/>
  <c r="AC53" i="5"/>
  <c r="AS250" i="2"/>
  <c r="AS190" i="2"/>
  <c r="AS191" i="2" s="1"/>
  <c r="N799" i="2"/>
  <c r="AD190" i="2"/>
  <c r="AD191" i="2" s="1"/>
  <c r="V358" i="2"/>
  <c r="V356" i="2"/>
  <c r="AA797" i="2"/>
  <c r="AA275" i="2"/>
  <c r="AA276" i="2"/>
  <c r="AC217" i="2"/>
  <c r="AC218" i="2" s="1"/>
  <c r="AC316" i="2" s="1"/>
  <c r="AF229" i="2"/>
  <c r="AT358" i="2"/>
  <c r="AT356" i="2"/>
  <c r="V266" i="2"/>
  <c r="AT271" i="2"/>
  <c r="AL217" i="2"/>
  <c r="AL218" i="2" s="1"/>
  <c r="AL251" i="2"/>
  <c r="N327" i="2"/>
  <c r="X190" i="2"/>
  <c r="X191" i="2" s="1"/>
  <c r="T271" i="2"/>
  <c r="Z233" i="2"/>
  <c r="AM232" i="2"/>
  <c r="AP314" i="2"/>
  <c r="AP178" i="2"/>
  <c r="W233" i="2"/>
  <c r="D250" i="2"/>
  <c r="D190" i="2"/>
  <c r="D191" i="2" s="1"/>
  <c r="AL249" i="2"/>
  <c r="Z250" i="2"/>
  <c r="Z190" i="2"/>
  <c r="Z191" i="2" s="1"/>
  <c r="AB27" i="5"/>
  <c r="AB115" i="2"/>
  <c r="AB114" i="2"/>
  <c r="AB26" i="2"/>
  <c r="AF250" i="2"/>
  <c r="AF190" i="2"/>
  <c r="AF191" i="2" s="1"/>
  <c r="Y313" i="2"/>
  <c r="Y131" i="2"/>
  <c r="AN127" i="2"/>
  <c r="AN13" i="5" s="1"/>
  <c r="AN181" i="2"/>
  <c r="AN126" i="2"/>
  <c r="K27" i="5"/>
  <c r="K115" i="2"/>
  <c r="K26" i="2"/>
  <c r="K28" i="2" s="1"/>
  <c r="AL107" i="2"/>
  <c r="AQ185" i="2"/>
  <c r="AQ182" i="2"/>
  <c r="AR50" i="2"/>
  <c r="AR51" i="2"/>
  <c r="AR17" i="5" s="1"/>
  <c r="Y25" i="5"/>
  <c r="Y11" i="2"/>
  <c r="Y12" i="2"/>
  <c r="BA135" i="2"/>
  <c r="BB90" i="2"/>
  <c r="BA99" i="2"/>
  <c r="BA92" i="2"/>
  <c r="BA14" i="2"/>
  <c r="BA104" i="2"/>
  <c r="BA54" i="2"/>
  <c r="AF142" i="2"/>
  <c r="AF109" i="2" s="1"/>
  <c r="AJ140" i="2"/>
  <c r="AF144" i="2"/>
  <c r="AM169" i="2"/>
  <c r="AM14" i="5" s="1"/>
  <c r="AH50" i="2"/>
  <c r="AH51" i="2"/>
  <c r="AH17" i="5" s="1"/>
  <c r="AS50" i="2"/>
  <c r="AS51" i="2"/>
  <c r="AS17" i="5" s="1"/>
  <c r="AP50" i="2"/>
  <c r="AP51" i="2"/>
  <c r="AP17" i="5" s="1"/>
  <c r="AN28" i="7"/>
  <c r="AD25" i="7"/>
  <c r="AD91" i="5"/>
  <c r="AA106" i="5"/>
  <c r="P748" i="2"/>
  <c r="P749" i="2" s="1"/>
  <c r="P696" i="2"/>
  <c r="E692" i="2"/>
  <c r="M692" i="2"/>
  <c r="W616" i="2"/>
  <c r="Z811" i="2" s="1"/>
  <c r="T84" i="5"/>
  <c r="T99" i="5"/>
  <c r="Z813" i="2"/>
  <c r="R84" i="5"/>
  <c r="R99" i="5"/>
  <c r="R100" i="5" s="1"/>
  <c r="J574" i="2"/>
  <c r="AM100" i="5"/>
  <c r="AM101" i="5" s="1"/>
  <c r="AT813" i="2"/>
  <c r="P810" i="2"/>
  <c r="L432" i="2"/>
  <c r="AR115" i="5"/>
  <c r="AM66" i="5"/>
  <c r="AM73" i="5" s="1"/>
  <c r="AM76" i="5"/>
  <c r="AM78" i="5" s="1"/>
  <c r="AO55" i="5"/>
  <c r="AJ462" i="2"/>
  <c r="AJ463" i="2" s="1"/>
  <c r="AJ459" i="2"/>
  <c r="AE462" i="2"/>
  <c r="AE463" i="2" s="1"/>
  <c r="AE459" i="2"/>
  <c r="R462" i="2"/>
  <c r="D577" i="2"/>
  <c r="E576" i="2" s="1"/>
  <c r="E577" i="2" s="1"/>
  <c r="F576" i="2" s="1"/>
  <c r="F577" i="2" s="1"/>
  <c r="G576" i="2" s="1"/>
  <c r="P711" i="2"/>
  <c r="P694" i="2"/>
  <c r="AP111" i="5"/>
  <c r="AK35" i="5"/>
  <c r="W30" i="5"/>
  <c r="W681" i="2"/>
  <c r="W678" i="2"/>
  <c r="W686" i="2" s="1"/>
  <c r="W680" i="2"/>
  <c r="W688" i="2" s="1"/>
  <c r="W675" i="2"/>
  <c r="W683" i="2" s="1"/>
  <c r="W677" i="2"/>
  <c r="W685" i="2" s="1"/>
  <c r="W679" i="2"/>
  <c r="W676" i="2"/>
  <c r="W684" i="2" s="1"/>
  <c r="W385" i="2"/>
  <c r="W390" i="2" s="1"/>
  <c r="W326" i="2"/>
  <c r="W320" i="2"/>
  <c r="W805" i="2" s="1"/>
  <c r="W312" i="2"/>
  <c r="W317" i="2" s="1"/>
  <c r="W321" i="2"/>
  <c r="W309" i="2"/>
  <c r="W310" i="2" s="1"/>
  <c r="AV356" i="2"/>
  <c r="AV358" i="2"/>
  <c r="U358" i="2"/>
  <c r="U356" i="2"/>
  <c r="F687" i="2"/>
  <c r="AP679" i="2"/>
  <c r="R677" i="2"/>
  <c r="R685" i="2" s="1"/>
  <c r="AC686" i="2"/>
  <c r="Q679" i="2"/>
  <c r="Q687" i="2" s="1"/>
  <c r="O103" i="5"/>
  <c r="O396" i="2"/>
  <c r="O404" i="2"/>
  <c r="O391" i="2"/>
  <c r="O322" i="2"/>
  <c r="O56" i="5" s="1"/>
  <c r="K309" i="2"/>
  <c r="K310" i="2" s="1"/>
  <c r="U266" i="2"/>
  <c r="P266" i="2"/>
  <c r="AG250" i="2"/>
  <c r="AG190" i="2"/>
  <c r="AG191" i="2" s="1"/>
  <c r="AE231" i="2"/>
  <c r="AE233" i="2" s="1"/>
  <c r="AO245" i="2"/>
  <c r="AO248" i="2" s="1"/>
  <c r="AO129" i="2"/>
  <c r="AO130" i="2" s="1"/>
  <c r="AS23" i="5"/>
  <c r="AS230" i="2"/>
  <c r="AS229" i="2"/>
  <c r="AS231" i="2"/>
  <c r="R190" i="2"/>
  <c r="R191" i="2" s="1"/>
  <c r="AW230" i="2"/>
  <c r="V798" i="2"/>
  <c r="AN190" i="2"/>
  <c r="AN191" i="2" s="1"/>
  <c r="U799" i="2"/>
  <c r="U276" i="2"/>
  <c r="AW190" i="2"/>
  <c r="AW191" i="2" s="1"/>
  <c r="L190" i="2"/>
  <c r="L191" i="2" s="1"/>
  <c r="AU217" i="2"/>
  <c r="N233" i="2"/>
  <c r="AM217" i="2"/>
  <c r="AM218" i="2" s="1"/>
  <c r="AV245" i="2"/>
  <c r="AV246" i="2" s="1"/>
  <c r="AV248" i="2"/>
  <c r="AV129" i="2"/>
  <c r="AV130" i="2" s="1"/>
  <c r="L245" i="2"/>
  <c r="L246" i="2" s="1"/>
  <c r="L129" i="2"/>
  <c r="L130" i="2" s="1"/>
  <c r="D231" i="2"/>
  <c r="V245" i="2"/>
  <c r="V246" i="2" s="1"/>
  <c r="V248" i="2"/>
  <c r="V252" i="2" s="1"/>
  <c r="V129" i="2"/>
  <c r="V130" i="2" s="1"/>
  <c r="K245" i="2"/>
  <c r="K250" i="2" s="1"/>
  <c r="P27" i="5"/>
  <c r="P115" i="2"/>
  <c r="P26" i="2"/>
  <c r="AG251" i="2"/>
  <c r="AG217" i="2"/>
  <c r="AG218" i="2" s="1"/>
  <c r="AU185" i="2"/>
  <c r="AU187" i="2"/>
  <c r="AU188" i="2"/>
  <c r="AU15" i="5" s="1"/>
  <c r="AV187" i="2"/>
  <c r="K185" i="2"/>
  <c r="K188" i="2"/>
  <c r="K15" i="5" s="1"/>
  <c r="AB245" i="2"/>
  <c r="AB246" i="2" s="1"/>
  <c r="AB129" i="2"/>
  <c r="AB130" i="2" s="1"/>
  <c r="AL127" i="2"/>
  <c r="AL13" i="5" s="1"/>
  <c r="AL181" i="2"/>
  <c r="AL126" i="2"/>
  <c r="AH230" i="2"/>
  <c r="AF246" i="2"/>
  <c r="AV126" i="2"/>
  <c r="AV181" i="2"/>
  <c r="AV127" i="2"/>
  <c r="AV13" i="5" s="1"/>
  <c r="L114" i="2"/>
  <c r="U115" i="2"/>
  <c r="AF50" i="2"/>
  <c r="AF51" i="2"/>
  <c r="AF17" i="5" s="1"/>
  <c r="M25" i="5"/>
  <c r="M11" i="2"/>
  <c r="AX111" i="2"/>
  <c r="AX110" i="2"/>
  <c r="AX20" i="2"/>
  <c r="AZ138" i="2"/>
  <c r="AZ140" i="2"/>
  <c r="AS207" i="2"/>
  <c r="AG130" i="2"/>
  <c r="B887" i="2"/>
  <c r="F878" i="2" s="1"/>
  <c r="B886" i="2"/>
  <c r="B4" i="2" s="1"/>
  <c r="A2" i="2"/>
  <c r="A2" i="7" s="1"/>
  <c r="G2" i="5"/>
  <c r="G5" i="7"/>
  <c r="H5" i="2"/>
  <c r="E51" i="2"/>
  <c r="E17" i="5" s="1"/>
  <c r="AM51" i="2"/>
  <c r="AM17" i="5" s="1"/>
  <c r="AM50" i="2"/>
  <c r="V106" i="5"/>
  <c r="F106" i="5"/>
  <c r="AU97" i="5"/>
  <c r="G692" i="2"/>
  <c r="G695" i="2" s="1"/>
  <c r="K692" i="2"/>
  <c r="Y692" i="2"/>
  <c r="BG804" i="2"/>
  <c r="BG631" i="2"/>
  <c r="AM664" i="2"/>
  <c r="Z810" i="2"/>
  <c r="V432" i="2"/>
  <c r="J664" i="2"/>
  <c r="I800" i="2" s="1"/>
  <c r="F84" i="5"/>
  <c r="F99" i="5"/>
  <c r="F100" i="5" s="1"/>
  <c r="F101" i="5" s="1"/>
  <c r="F467" i="2"/>
  <c r="P616" i="2"/>
  <c r="P69" i="5" s="1"/>
  <c r="Y694" i="2"/>
  <c r="Y711" i="2"/>
  <c r="W711" i="2"/>
  <c r="W694" i="2"/>
  <c r="AJ810" i="2"/>
  <c r="S55" i="5"/>
  <c r="AT688" i="2"/>
  <c r="Y103" i="5"/>
  <c r="Y391" i="2"/>
  <c r="Y396" i="2"/>
  <c r="Y404" i="2"/>
  <c r="Y322" i="2"/>
  <c r="Y56" i="5" s="1"/>
  <c r="AC111" i="5"/>
  <c r="X35" i="5"/>
  <c r="AV103" i="5"/>
  <c r="AV404" i="2"/>
  <c r="AV391" i="2"/>
  <c r="AV396" i="2"/>
  <c r="AV322" i="2"/>
  <c r="AV56" i="5" s="1"/>
  <c r="K348" i="2"/>
  <c r="K257" i="2"/>
  <c r="AV798" i="2"/>
  <c r="AN462" i="2"/>
  <c r="AR103" i="5"/>
  <c r="AR396" i="2"/>
  <c r="AR404" i="2"/>
  <c r="AR391" i="2"/>
  <c r="AR322" i="2"/>
  <c r="AR56" i="5" s="1"/>
  <c r="AF683" i="2"/>
  <c r="T684" i="2"/>
  <c r="AJ111" i="5"/>
  <c r="AE35" i="5"/>
  <c r="AJ798" i="2"/>
  <c r="AJ352" i="2"/>
  <c r="AJ354" i="2" s="1"/>
  <c r="AP35" i="5"/>
  <c r="R688" i="2"/>
  <c r="AC684" i="2"/>
  <c r="O678" i="2"/>
  <c r="T686" i="2" s="1"/>
  <c r="U190" i="2"/>
  <c r="U191" i="2" s="1"/>
  <c r="W327" i="2"/>
  <c r="AC248" i="2"/>
  <c r="AC245" i="2"/>
  <c r="AC251" i="2" s="1"/>
  <c r="AC129" i="2"/>
  <c r="AC130" i="2" s="1"/>
  <c r="AG23" i="5"/>
  <c r="AG230" i="2"/>
  <c r="AG231" i="2"/>
  <c r="AG229" i="2"/>
  <c r="F190" i="2"/>
  <c r="F191" i="2" s="1"/>
  <c r="AU327" i="2"/>
  <c r="AA358" i="2"/>
  <c r="AA356" i="2"/>
  <c r="AB250" i="2"/>
  <c r="AB190" i="2"/>
  <c r="AB191" i="2" s="1"/>
  <c r="AW231" i="2"/>
  <c r="AK190" i="2"/>
  <c r="AK191" i="2" s="1"/>
  <c r="AQ266" i="2"/>
  <c r="AS249" i="2"/>
  <c r="M23" i="5"/>
  <c r="M230" i="2"/>
  <c r="M232" i="2"/>
  <c r="AD266" i="2"/>
  <c r="AI251" i="2"/>
  <c r="AI217" i="2"/>
  <c r="AI218" i="2" s="1"/>
  <c r="AX729" i="2"/>
  <c r="AY729" i="2" s="1"/>
  <c r="AX206" i="2"/>
  <c r="AX43" i="2"/>
  <c r="AV233" i="2"/>
  <c r="AP233" i="2"/>
  <c r="AM314" i="2"/>
  <c r="Y26" i="5"/>
  <c r="Y17" i="2"/>
  <c r="Y70" i="2"/>
  <c r="Y100" i="2"/>
  <c r="AD233" i="2"/>
  <c r="S248" i="2"/>
  <c r="S245" i="2"/>
  <c r="S129" i="2"/>
  <c r="S130" i="2" s="1"/>
  <c r="R797" i="2"/>
  <c r="AV266" i="2"/>
  <c r="AQ315" i="2"/>
  <c r="AR314" i="2"/>
  <c r="AR178" i="2"/>
  <c r="AJ181" i="2"/>
  <c r="AJ127" i="2"/>
  <c r="AJ13" i="5" s="1"/>
  <c r="AP185" i="2"/>
  <c r="AP183" i="2"/>
  <c r="AP182" i="2"/>
  <c r="AE26" i="5"/>
  <c r="AE101" i="2"/>
  <c r="AE70" i="2"/>
  <c r="AE17" i="2"/>
  <c r="AE105" i="2"/>
  <c r="AN111" i="2"/>
  <c r="AN110" i="2"/>
  <c r="AN20" i="2"/>
  <c r="AZ26" i="5"/>
  <c r="AZ17" i="2"/>
  <c r="AZ100" i="2"/>
  <c r="AZ101" i="2"/>
  <c r="AZ70" i="2"/>
  <c r="T50" i="2"/>
  <c r="T51" i="2"/>
  <c r="T17" i="5" s="1"/>
  <c r="BG137" i="2"/>
  <c r="BG16" i="2"/>
  <c r="BG60" i="2"/>
  <c r="AO145" i="2"/>
  <c r="Y51" i="2"/>
  <c r="Y17" i="5" s="1"/>
  <c r="Y50" i="2"/>
  <c r="AV50" i="2"/>
  <c r="AV51" i="2"/>
  <c r="AV17" i="5" s="1"/>
  <c r="K2" i="5"/>
  <c r="K5" i="7"/>
  <c r="L5" i="2"/>
  <c r="P5" i="2"/>
  <c r="AI50" i="2"/>
  <c r="AI51" i="2"/>
  <c r="AI17" i="5" s="1"/>
  <c r="AE51" i="2"/>
  <c r="AE17" i="5" s="1"/>
  <c r="N51" i="2"/>
  <c r="N17" i="5" s="1"/>
  <c r="N50" i="2"/>
  <c r="AD28" i="7"/>
  <c r="AD29" i="7" s="1"/>
  <c r="AD49" i="7"/>
  <c r="AD50" i="7" s="1"/>
  <c r="AP97" i="5"/>
  <c r="AL96" i="5"/>
  <c r="AM97" i="5" s="1"/>
  <c r="AL802" i="2"/>
  <c r="AL790" i="2"/>
  <c r="BF804" i="2"/>
  <c r="BF631" i="2"/>
  <c r="AE813" i="2"/>
  <c r="AA664" i="2"/>
  <c r="BB804" i="2"/>
  <c r="BB631" i="2"/>
  <c r="BA804" i="2"/>
  <c r="BA631" i="2"/>
  <c r="W62" i="5"/>
  <c r="W433" i="2"/>
  <c r="W446" i="2"/>
  <c r="W447" i="2" s="1"/>
  <c r="W448" i="2" s="1"/>
  <c r="W449" i="2" s="1"/>
  <c r="AS62" i="5"/>
  <c r="AS433" i="2"/>
  <c r="AS446" i="2"/>
  <c r="AS447" i="2" s="1"/>
  <c r="AS448" i="2" s="1"/>
  <c r="AS449" i="2" s="1"/>
  <c r="AE115" i="5"/>
  <c r="Z66" i="5"/>
  <c r="Z73" i="5" s="1"/>
  <c r="Z76" i="5"/>
  <c r="Z78" i="5" s="1"/>
  <c r="M66" i="5"/>
  <c r="M73" i="5" s="1"/>
  <c r="M131" i="5" s="1"/>
  <c r="M76" i="5"/>
  <c r="M78" i="5" s="1"/>
  <c r="X462" i="2"/>
  <c r="AU462" i="2"/>
  <c r="V711" i="2"/>
  <c r="V694" i="2"/>
  <c r="V695" i="2" s="1"/>
  <c r="AT459" i="2"/>
  <c r="AT462" i="2"/>
  <c r="AT463" i="2" s="1"/>
  <c r="AG462" i="2"/>
  <c r="AR462" i="2"/>
  <c r="L55" i="5"/>
  <c r="AT100" i="5"/>
  <c r="AT101" i="5" s="1"/>
  <c r="J100" i="5"/>
  <c r="J101" i="5" s="1"/>
  <c r="S462" i="2"/>
  <c r="F462" i="2"/>
  <c r="F463" i="2" s="1"/>
  <c r="F459" i="2"/>
  <c r="D711" i="2"/>
  <c r="D694" i="2"/>
  <c r="D695" i="2" s="1"/>
  <c r="AM111" i="5"/>
  <c r="AH35" i="5"/>
  <c r="AJ684" i="2"/>
  <c r="L103" i="5"/>
  <c r="L404" i="2"/>
  <c r="L391" i="2"/>
  <c r="L396" i="2"/>
  <c r="L322" i="2"/>
  <c r="L56" i="5" s="1"/>
  <c r="K30" i="5"/>
  <c r="K681" i="2"/>
  <c r="K689" i="2" s="1"/>
  <c r="K678" i="2"/>
  <c r="K686" i="2" s="1"/>
  <c r="K680" i="2"/>
  <c r="K688" i="2" s="1"/>
  <c r="K675" i="2"/>
  <c r="K683" i="2" s="1"/>
  <c r="K677" i="2"/>
  <c r="K685" i="2" s="1"/>
  <c r="K679" i="2"/>
  <c r="K687" i="2" s="1"/>
  <c r="K676" i="2"/>
  <c r="K684" i="2" s="1"/>
  <c r="K385" i="2"/>
  <c r="K390" i="2" s="1"/>
  <c r="K326" i="2"/>
  <c r="K320" i="2"/>
  <c r="K805" i="2" s="1"/>
  <c r="K312" i="2"/>
  <c r="K317" i="2" s="1"/>
  <c r="K321" i="2"/>
  <c r="L348" i="2"/>
  <c r="L257" i="2"/>
  <c r="H103" i="5"/>
  <c r="H396" i="2"/>
  <c r="H404" i="2"/>
  <c r="H391" i="2"/>
  <c r="H322" i="2"/>
  <c r="H56" i="5" s="1"/>
  <c r="AR685" i="2"/>
  <c r="AF688" i="2"/>
  <c r="AM348" i="2"/>
  <c r="AM257" i="2"/>
  <c r="S103" i="5"/>
  <c r="S396" i="2"/>
  <c r="S404" i="2"/>
  <c r="S391" i="2"/>
  <c r="S322" i="2"/>
  <c r="S56" i="5" s="1"/>
  <c r="F683" i="2"/>
  <c r="AD103" i="5"/>
  <c r="AD396" i="2"/>
  <c r="AD404" i="2"/>
  <c r="AD391" i="2"/>
  <c r="AD322" i="2"/>
  <c r="AD56" i="5" s="1"/>
  <c r="R686" i="2"/>
  <c r="AO103" i="5"/>
  <c r="AO104" i="5" s="1"/>
  <c r="AO396" i="2"/>
  <c r="AO404" i="2"/>
  <c r="AO391" i="2"/>
  <c r="AO322" i="2"/>
  <c r="AO56" i="5" s="1"/>
  <c r="AC689" i="2"/>
  <c r="AE53" i="5"/>
  <c r="AR111" i="5"/>
  <c r="AM35" i="5"/>
  <c r="O676" i="2"/>
  <c r="AL348" i="2"/>
  <c r="AL257" i="2"/>
  <c r="AZ265" i="2"/>
  <c r="AU266" i="2"/>
  <c r="I190" i="2"/>
  <c r="I191" i="2" s="1"/>
  <c r="I315" i="2" s="1"/>
  <c r="I327" i="2"/>
  <c r="Q245" i="2"/>
  <c r="Q129" i="2"/>
  <c r="Q130" i="2" s="1"/>
  <c r="U23" i="5"/>
  <c r="U232" i="2"/>
  <c r="U230" i="2"/>
  <c r="U231" i="2"/>
  <c r="U229" i="2"/>
  <c r="AP361" i="2"/>
  <c r="AP368" i="2" s="1"/>
  <c r="AP375" i="2"/>
  <c r="AP378" i="2" s="1"/>
  <c r="AM249" i="2"/>
  <c r="P190" i="2"/>
  <c r="P191" i="2" s="1"/>
  <c r="AO23" i="5"/>
  <c r="AO231" i="2"/>
  <c r="I799" i="2"/>
  <c r="Y250" i="2"/>
  <c r="Y190" i="2"/>
  <c r="Y191" i="2" s="1"/>
  <c r="AG249" i="2"/>
  <c r="AT250" i="2"/>
  <c r="AT190" i="2"/>
  <c r="AT191" i="2" s="1"/>
  <c r="Z248" i="2"/>
  <c r="AW204" i="2"/>
  <c r="AA23" i="5"/>
  <c r="AA231" i="2"/>
  <c r="AA229" i="2"/>
  <c r="AA233" i="2" s="1"/>
  <c r="AT245" i="2"/>
  <c r="AT246" i="2" s="1"/>
  <c r="AT129" i="2"/>
  <c r="AT130" i="2" s="1"/>
  <c r="V23" i="5"/>
  <c r="V232" i="2"/>
  <c r="V230" i="2"/>
  <c r="V233" i="2" s="1"/>
  <c r="U245" i="2"/>
  <c r="N250" i="2"/>
  <c r="N190" i="2"/>
  <c r="N191" i="2" s="1"/>
  <c r="AQ207" i="2"/>
  <c r="AQ209" i="2"/>
  <c r="AJ271" i="2"/>
  <c r="AI250" i="2"/>
  <c r="AI190" i="2"/>
  <c r="AI191" i="2" s="1"/>
  <c r="AV249" i="2"/>
  <c r="AI245" i="2"/>
  <c r="T23" i="5"/>
  <c r="T232" i="2"/>
  <c r="T233" i="2" s="1"/>
  <c r="T230" i="2"/>
  <c r="AF314" i="2"/>
  <c r="AF178" i="2"/>
  <c r="AE138" i="2"/>
  <c r="M27" i="5"/>
  <c r="M114" i="2"/>
  <c r="M115" i="2"/>
  <c r="M26" i="2"/>
  <c r="BC163" i="2"/>
  <c r="AT165" i="2"/>
  <c r="T27" i="5"/>
  <c r="T114" i="2"/>
  <c r="T115" i="2"/>
  <c r="T26" i="2"/>
  <c r="F1" i="5"/>
  <c r="F851" i="2"/>
  <c r="F3" i="2"/>
  <c r="G4" i="2"/>
  <c r="AK185" i="2"/>
  <c r="AK182" i="2"/>
  <c r="V26" i="5"/>
  <c r="V113" i="2"/>
  <c r="W114" i="2" s="1"/>
  <c r="V100" i="2"/>
  <c r="V17" i="2"/>
  <c r="V70" i="2"/>
  <c r="AE113" i="2"/>
  <c r="AP12" i="2"/>
  <c r="AT141" i="2"/>
  <c r="AT145" i="2" s="1"/>
  <c r="AQ145" i="2"/>
  <c r="F3" i="7"/>
  <c r="F4" i="7"/>
  <c r="AG50" i="2"/>
  <c r="AG51" i="2"/>
  <c r="AG17" i="5" s="1"/>
  <c r="F96" i="5"/>
  <c r="F790" i="2"/>
  <c r="F802" i="2"/>
  <c r="AV96" i="5"/>
  <c r="AV97" i="5" s="1"/>
  <c r="AV802" i="2"/>
  <c r="AV790" i="2"/>
  <c r="AR97" i="5"/>
  <c r="X96" i="5"/>
  <c r="X802" i="2"/>
  <c r="X790" i="2"/>
  <c r="AJ96" i="5"/>
  <c r="AJ97" i="5" s="1"/>
  <c r="AJ802" i="2"/>
  <c r="AJ790" i="2"/>
  <c r="AF667" i="2"/>
  <c r="AQ99" i="5"/>
  <c r="AQ100" i="5" s="1"/>
  <c r="AQ101" i="5" s="1"/>
  <c r="AQ84" i="5"/>
  <c r="AD604" i="2"/>
  <c r="AD616" i="2" s="1"/>
  <c r="AD69" i="5" s="1"/>
  <c r="AD526" i="2"/>
  <c r="AD574" i="2" s="1"/>
  <c r="P62" i="5"/>
  <c r="P433" i="2"/>
  <c r="P446" i="2"/>
  <c r="P447" i="2" s="1"/>
  <c r="P448" i="2" s="1"/>
  <c r="P449" i="2" s="1"/>
  <c r="T62" i="5"/>
  <c r="T433" i="2"/>
  <c r="T446" i="2"/>
  <c r="T447" i="2" s="1"/>
  <c r="T448" i="2" s="1"/>
  <c r="T449" i="2" s="1"/>
  <c r="AS604" i="2"/>
  <c r="AS616" i="2" s="1"/>
  <c r="AS69" i="5" s="1"/>
  <c r="AS526" i="2"/>
  <c r="P100" i="5"/>
  <c r="P101" i="5" s="1"/>
  <c r="M694" i="2"/>
  <c r="M711" i="2"/>
  <c r="AW462" i="2"/>
  <c r="X711" i="2"/>
  <c r="X694" i="2"/>
  <c r="K711" i="2"/>
  <c r="K694" i="2"/>
  <c r="AO348" i="2"/>
  <c r="AO257" i="2"/>
  <c r="AE66" i="5"/>
  <c r="AE73" i="5" s="1"/>
  <c r="AE131" i="5" s="1"/>
  <c r="AE76" i="5"/>
  <c r="AE78" i="5" s="1"/>
  <c r="AB462" i="2"/>
  <c r="AM462" i="2"/>
  <c r="AN384" i="2"/>
  <c r="AN256" i="2"/>
  <c r="AJ689" i="2"/>
  <c r="V686" i="2"/>
  <c r="M111" i="5"/>
  <c r="H35" i="5"/>
  <c r="Y111" i="5"/>
  <c r="T35" i="5"/>
  <c r="C348" i="2"/>
  <c r="C257" i="2"/>
  <c r="F688" i="2"/>
  <c r="AD685" i="2"/>
  <c r="R684" i="2"/>
  <c r="F111" i="5"/>
  <c r="E35" i="5"/>
  <c r="AO686" i="2"/>
  <c r="AC687" i="2"/>
  <c r="Q688" i="2"/>
  <c r="S53" i="5"/>
  <c r="AA103" i="5"/>
  <c r="AA396" i="2"/>
  <c r="AA404" i="2"/>
  <c r="AA391" i="2"/>
  <c r="AA322" i="2"/>
  <c r="AA56" i="5" s="1"/>
  <c r="AL30" i="5"/>
  <c r="AL678" i="2"/>
  <c r="AQ686" i="2" s="1"/>
  <c r="AL680" i="2"/>
  <c r="AQ688" i="2" s="1"/>
  <c r="AL675" i="2"/>
  <c r="AL677" i="2"/>
  <c r="AL679" i="2"/>
  <c r="AL681" i="2"/>
  <c r="AL676" i="2"/>
  <c r="AL684" i="2" s="1"/>
  <c r="AL326" i="2"/>
  <c r="AL385" i="2"/>
  <c r="AL390" i="2" s="1"/>
  <c r="AL320" i="2"/>
  <c r="AL805" i="2" s="1"/>
  <c r="AL312" i="2"/>
  <c r="AL317" i="2" s="1"/>
  <c r="AL321" i="2"/>
  <c r="AL309" i="2"/>
  <c r="AL310" i="2" s="1"/>
  <c r="AW229" i="2"/>
  <c r="E248" i="2"/>
  <c r="E245" i="2"/>
  <c r="E129" i="2"/>
  <c r="E130" i="2" s="1"/>
  <c r="I23" i="5"/>
  <c r="I232" i="2"/>
  <c r="I230" i="2"/>
  <c r="I229" i="2"/>
  <c r="I231" i="2"/>
  <c r="AU799" i="2"/>
  <c r="AC23" i="5"/>
  <c r="AC231" i="2"/>
  <c r="AC233" i="2" s="1"/>
  <c r="V797" i="2"/>
  <c r="V276" i="2"/>
  <c r="M250" i="2"/>
  <c r="M190" i="2"/>
  <c r="M191" i="2" s="1"/>
  <c r="AW232" i="2"/>
  <c r="O797" i="2"/>
  <c r="O276" i="2"/>
  <c r="AH190" i="2"/>
  <c r="AH191" i="2" s="1"/>
  <c r="AH113" i="2"/>
  <c r="AI114" i="2" s="1"/>
  <c r="AH110" i="2"/>
  <c r="AH20" i="2"/>
  <c r="AH21" i="2" s="1"/>
  <c r="Z251" i="2"/>
  <c r="O115" i="2"/>
  <c r="AT233" i="2"/>
  <c r="AT169" i="2"/>
  <c r="AT14" i="5" s="1"/>
  <c r="AT176" i="2"/>
  <c r="AT177" i="2" s="1"/>
  <c r="AM266" i="2"/>
  <c r="AC27" i="5"/>
  <c r="AC114" i="2"/>
  <c r="AD114" i="2"/>
  <c r="AC26" i="2"/>
  <c r="AQ245" i="2"/>
  <c r="AQ129" i="2"/>
  <c r="AQ130" i="2" s="1"/>
  <c r="S23" i="5"/>
  <c r="S232" i="2"/>
  <c r="S230" i="2"/>
  <c r="S233" i="2" s="1"/>
  <c r="Z249" i="2"/>
  <c r="AU245" i="2"/>
  <c r="AU246" i="2" s="1"/>
  <c r="AU129" i="2"/>
  <c r="F233" i="2"/>
  <c r="T250" i="2"/>
  <c r="T190" i="2"/>
  <c r="T191" i="2" s="1"/>
  <c r="AV111" i="2"/>
  <c r="AV110" i="2"/>
  <c r="AV20" i="2"/>
  <c r="AV113" i="2"/>
  <c r="AW110" i="2"/>
  <c r="AE107" i="2"/>
  <c r="AQ25" i="5"/>
  <c r="AR11" i="2"/>
  <c r="AQ11" i="2"/>
  <c r="AQ12" i="2"/>
  <c r="W27" i="5"/>
  <c r="W115" i="2"/>
  <c r="W26" i="2"/>
  <c r="C855" i="2"/>
  <c r="C871" i="2"/>
  <c r="C862" i="2"/>
  <c r="C857" i="2"/>
  <c r="C869" i="2"/>
  <c r="C864" i="2"/>
  <c r="AY104" i="2"/>
  <c r="AY107" i="2" s="1"/>
  <c r="AS181" i="2"/>
  <c r="AS126" i="2"/>
  <c r="AS127" i="2"/>
  <c r="AS13" i="5" s="1"/>
  <c r="D3" i="7"/>
  <c r="D4" i="7"/>
  <c r="V50" i="2"/>
  <c r="V51" i="2"/>
  <c r="V17" i="5" s="1"/>
  <c r="S50" i="2"/>
  <c r="S51" i="2"/>
  <c r="S17" i="5" s="1"/>
  <c r="AA51" i="2"/>
  <c r="AA17" i="5" s="1"/>
  <c r="AA50" i="2"/>
  <c r="O51" i="2"/>
  <c r="O17" i="5" s="1"/>
  <c r="O50" i="2"/>
  <c r="AH25" i="7"/>
  <c r="AH26" i="7"/>
  <c r="AH24" i="7"/>
  <c r="AH27" i="7"/>
  <c r="AH23" i="7"/>
  <c r="AH29" i="7" s="1"/>
  <c r="P26" i="7"/>
  <c r="P24" i="7"/>
  <c r="P27" i="7"/>
  <c r="P25" i="7"/>
  <c r="P23" i="7"/>
  <c r="P29" i="7" s="1"/>
  <c r="AA23" i="7"/>
  <c r="AA26" i="7"/>
  <c r="AA24" i="7"/>
  <c r="AA27" i="7"/>
  <c r="P7" i="7"/>
  <c r="P13" i="7" s="1"/>
  <c r="L7" i="7"/>
  <c r="L13" i="7" s="1"/>
  <c r="M7" i="7" s="1"/>
  <c r="M13" i="7" s="1"/>
  <c r="N7" i="7" s="1"/>
  <c r="N13" i="7" s="1"/>
  <c r="O7" i="7" s="1"/>
  <c r="O13" i="7" s="1"/>
  <c r="R92" i="5"/>
  <c r="AG96" i="5"/>
  <c r="AG97" i="5" s="1"/>
  <c r="AG802" i="2"/>
  <c r="AG790" i="2"/>
  <c r="AC802" i="2"/>
  <c r="AQ97" i="5"/>
  <c r="AX621" i="2"/>
  <c r="AY621" i="2" s="1"/>
  <c r="AU600" i="2"/>
  <c r="AY593" i="2"/>
  <c r="BE804" i="2"/>
  <c r="BE631" i="2"/>
  <c r="AY619" i="2"/>
  <c r="BD694" i="2"/>
  <c r="AZ619" i="2"/>
  <c r="AF69" i="5"/>
  <c r="AJ811" i="2"/>
  <c r="AL577" i="2"/>
  <c r="AE99" i="5"/>
  <c r="AE100" i="5" s="1"/>
  <c r="AE101" i="5" s="1"/>
  <c r="AE83" i="5"/>
  <c r="AE84" i="5"/>
  <c r="AE467" i="2"/>
  <c r="AN62" i="5"/>
  <c r="AN433" i="2"/>
  <c r="AN446" i="2"/>
  <c r="AN447" i="2" s="1"/>
  <c r="AN448" i="2" s="1"/>
  <c r="AN449" i="2" s="1"/>
  <c r="AA101" i="5"/>
  <c r="T616" i="2"/>
  <c r="T69" i="5" s="1"/>
  <c r="AB62" i="5"/>
  <c r="AB433" i="2"/>
  <c r="AB446" i="2"/>
  <c r="AB447" i="2" s="1"/>
  <c r="AB448" i="2" s="1"/>
  <c r="AB449" i="2" s="1"/>
  <c r="M800" i="2"/>
  <c r="AF115" i="5"/>
  <c r="AA66" i="5"/>
  <c r="AA73" i="5" s="1"/>
  <c r="AA131" i="5" s="1"/>
  <c r="AA76" i="5"/>
  <c r="AA78" i="5" s="1"/>
  <c r="L462" i="2"/>
  <c r="W462" i="2"/>
  <c r="L54" i="5"/>
  <c r="J711" i="2"/>
  <c r="J694" i="2"/>
  <c r="J695" i="2" s="1"/>
  <c r="AH462" i="2"/>
  <c r="U711" i="2"/>
  <c r="U694" i="2"/>
  <c r="U462" i="2"/>
  <c r="U463" i="2" s="1"/>
  <c r="U459" i="2"/>
  <c r="AC348" i="2"/>
  <c r="AC257" i="2"/>
  <c r="T711" i="2"/>
  <c r="T694" i="2"/>
  <c r="AF462" i="2"/>
  <c r="G462" i="2"/>
  <c r="Q711" i="2"/>
  <c r="Q694" i="2"/>
  <c r="AO462" i="2"/>
  <c r="AO463" i="2" s="1"/>
  <c r="AO459" i="2"/>
  <c r="AK103" i="5"/>
  <c r="AK391" i="2"/>
  <c r="AK396" i="2"/>
  <c r="AK404" i="2"/>
  <c r="AK322" i="2"/>
  <c r="AK56" i="5" s="1"/>
  <c r="M675" i="2"/>
  <c r="R683" i="2" s="1"/>
  <c r="AO111" i="5"/>
  <c r="AJ35" i="5"/>
  <c r="L677" i="2"/>
  <c r="Q685" i="2" s="1"/>
  <c r="V684" i="2"/>
  <c r="AV675" i="2"/>
  <c r="AZ783" i="2"/>
  <c r="BA783" i="2" s="1"/>
  <c r="BB783" i="2" s="1"/>
  <c r="BC783" i="2" s="1"/>
  <c r="BD783" i="2" s="1"/>
  <c r="BE783" i="2" s="1"/>
  <c r="BF783" i="2" s="1"/>
  <c r="BG783" i="2" s="1"/>
  <c r="AR358" i="2"/>
  <c r="AR356" i="2"/>
  <c r="G103" i="5"/>
  <c r="G396" i="2"/>
  <c r="G404" i="2"/>
  <c r="G391" i="2"/>
  <c r="G322" i="2"/>
  <c r="G56" i="5" s="1"/>
  <c r="AV111" i="5"/>
  <c r="AQ35" i="5"/>
  <c r="F686" i="2"/>
  <c r="H53" i="5"/>
  <c r="AD683" i="2"/>
  <c r="R681" i="2"/>
  <c r="R689" i="2" s="1"/>
  <c r="AO684" i="2"/>
  <c r="AC685" i="2"/>
  <c r="V111" i="5"/>
  <c r="Q35" i="5"/>
  <c r="AA678" i="2"/>
  <c r="AA686" i="2" s="1"/>
  <c r="O679" i="2"/>
  <c r="Z348" i="2"/>
  <c r="Z257" i="2"/>
  <c r="AH797" i="2"/>
  <c r="AH276" i="2"/>
  <c r="AK233" i="2"/>
  <c r="AM245" i="2"/>
  <c r="AM246" i="2" s="1"/>
  <c r="AM129" i="2"/>
  <c r="AM130" i="2" s="1"/>
  <c r="AR797" i="2"/>
  <c r="AR276" i="2"/>
  <c r="AC271" i="2"/>
  <c r="Q23" i="5"/>
  <c r="Q231" i="2"/>
  <c r="Q232" i="2"/>
  <c r="Q230" i="2"/>
  <c r="Q233" i="2" s="1"/>
  <c r="AR207" i="2"/>
  <c r="AR209" i="2"/>
  <c r="R271" i="2"/>
  <c r="M231" i="2"/>
  <c r="O358" i="2"/>
  <c r="O356" i="2"/>
  <c r="AK232" i="2"/>
  <c r="K271" i="2"/>
  <c r="V250" i="2"/>
  <c r="V190" i="2"/>
  <c r="V191" i="2" s="1"/>
  <c r="AL206" i="2"/>
  <c r="AL204" i="2"/>
  <c r="AA217" i="2"/>
  <c r="AA218" i="2" s="1"/>
  <c r="AA251" i="2"/>
  <c r="AJ245" i="2"/>
  <c r="AJ246" i="2" s="1"/>
  <c r="AJ248" i="2"/>
  <c r="AJ129" i="2"/>
  <c r="AJ130" i="2" s="1"/>
  <c r="AH168" i="2"/>
  <c r="AH169" i="2"/>
  <c r="AH14" i="5" s="1"/>
  <c r="AH176" i="2"/>
  <c r="AH177" i="2" s="1"/>
  <c r="AY26" i="5"/>
  <c r="AY101" i="2"/>
  <c r="AY17" i="2"/>
  <c r="AY70" i="2"/>
  <c r="I245" i="2"/>
  <c r="I250" i="2" s="1"/>
  <c r="Q27" i="5"/>
  <c r="Q115" i="2"/>
  <c r="Q114" i="2"/>
  <c r="Q26" i="2"/>
  <c r="AQ233" i="2"/>
  <c r="AR245" i="2"/>
  <c r="AR249" i="2" s="1"/>
  <c r="AI185" i="2"/>
  <c r="AI187" i="2"/>
  <c r="AI188" i="2"/>
  <c r="AI15" i="5" s="1"/>
  <c r="AL248" i="2"/>
  <c r="P23" i="5"/>
  <c r="P230" i="2"/>
  <c r="P233" i="2" s="1"/>
  <c r="P232" i="2"/>
  <c r="AP316" i="2"/>
  <c r="AR107" i="2"/>
  <c r="AE25" i="5"/>
  <c r="AV12" i="2"/>
  <c r="AT154" i="2"/>
  <c r="AT157" i="2" s="1"/>
  <c r="AT158" i="2" s="1"/>
  <c r="AQ27" i="5"/>
  <c r="AQ114" i="2"/>
  <c r="AQ26" i="2"/>
  <c r="AK126" i="2"/>
  <c r="AX107" i="2"/>
  <c r="S27" i="5"/>
  <c r="S114" i="2"/>
  <c r="S26" i="2"/>
  <c r="S115" i="2"/>
  <c r="E3" i="7"/>
  <c r="E4" i="7"/>
  <c r="AS27" i="5"/>
  <c r="AS115" i="2"/>
  <c r="AX113" i="2"/>
  <c r="AX121" i="2" s="1"/>
  <c r="AS26" i="2"/>
  <c r="BA105" i="2"/>
  <c r="BA136" i="2"/>
  <c r="BA141" i="2" s="1"/>
  <c r="BA95" i="2"/>
  <c r="BA15" i="2"/>
  <c r="BB93" i="2"/>
  <c r="BA57" i="2"/>
  <c r="R12" i="2"/>
  <c r="N27" i="5"/>
  <c r="N115" i="2"/>
  <c r="N114" i="2"/>
  <c r="O114" i="2"/>
  <c r="N26" i="2"/>
  <c r="M51" i="2"/>
  <c r="M17" i="5" s="1"/>
  <c r="M50" i="2"/>
  <c r="AU126" i="2"/>
  <c r="AK106" i="5"/>
  <c r="X106" i="5"/>
  <c r="S96" i="5"/>
  <c r="S97" i="5" s="1"/>
  <c r="S802" i="2"/>
  <c r="S790" i="2"/>
  <c r="AT107" i="5"/>
  <c r="AT108" i="5" s="1"/>
  <c r="AA97" i="5"/>
  <c r="AD96" i="5"/>
  <c r="AD97" i="5" s="1"/>
  <c r="AD802" i="2"/>
  <c r="N692" i="2"/>
  <c r="M695" i="2"/>
  <c r="BD700" i="2"/>
  <c r="AZ621" i="2"/>
  <c r="BD621" i="2" s="1"/>
  <c r="S84" i="5"/>
  <c r="S99" i="5"/>
  <c r="S100" i="5" s="1"/>
  <c r="S101" i="5" s="1"/>
  <c r="F616" i="2"/>
  <c r="F69" i="5" s="1"/>
  <c r="O62" i="5"/>
  <c r="O433" i="2"/>
  <c r="O446" i="2"/>
  <c r="O447" i="2" s="1"/>
  <c r="O448" i="2" s="1"/>
  <c r="O449" i="2" s="1"/>
  <c r="K616" i="2"/>
  <c r="X616" i="2"/>
  <c r="AN100" i="5"/>
  <c r="AN101" i="5" s="1"/>
  <c r="AK462" i="2"/>
  <c r="L711" i="2"/>
  <c r="L694" i="2"/>
  <c r="L695" i="2" s="1"/>
  <c r="AQ348" i="2"/>
  <c r="AQ257" i="2"/>
  <c r="Y100" i="5"/>
  <c r="Y101" i="5" s="1"/>
  <c r="X100" i="5"/>
  <c r="X101" i="5" s="1"/>
  <c r="Q348" i="2"/>
  <c r="Q257" i="2"/>
  <c r="S711" i="2"/>
  <c r="S694" i="2"/>
  <c r="S695" i="2" s="1"/>
  <c r="AS99" i="5"/>
  <c r="AS84" i="5"/>
  <c r="P462" i="2"/>
  <c r="P463" i="2" s="1"/>
  <c r="P459" i="2"/>
  <c r="AA462" i="2"/>
  <c r="AT35" i="5"/>
  <c r="AO54" i="5"/>
  <c r="AD356" i="2"/>
  <c r="AD358" i="2"/>
  <c r="X103" i="5"/>
  <c r="X404" i="2"/>
  <c r="X391" i="2"/>
  <c r="X396" i="2"/>
  <c r="X322" i="2"/>
  <c r="X56" i="5" s="1"/>
  <c r="L675" i="2"/>
  <c r="Q683" i="2" s="1"/>
  <c r="J30" i="5"/>
  <c r="J385" i="2"/>
  <c r="J390" i="2" s="1"/>
  <c r="J326" i="2"/>
  <c r="J320" i="2"/>
  <c r="J805" i="2" s="1"/>
  <c r="J321" i="2"/>
  <c r="AR798" i="2"/>
  <c r="AI462" i="2"/>
  <c r="L111" i="5"/>
  <c r="G35" i="5"/>
  <c r="AH53" i="5"/>
  <c r="AE103" i="5"/>
  <c r="AE104" i="5" s="1"/>
  <c r="AE396" i="2"/>
  <c r="AE404" i="2"/>
  <c r="AE391" i="2"/>
  <c r="AE322" i="2"/>
  <c r="AE56" i="5" s="1"/>
  <c r="AP103" i="5"/>
  <c r="AP396" i="2"/>
  <c r="AP404" i="2"/>
  <c r="AP391" i="2"/>
  <c r="AP322" i="2"/>
  <c r="AP56" i="5" s="1"/>
  <c r="AD688" i="2"/>
  <c r="R679" i="2"/>
  <c r="R687" i="2" s="1"/>
  <c r="AO689" i="2"/>
  <c r="D348" i="2"/>
  <c r="D257" i="2"/>
  <c r="AN343" i="2"/>
  <c r="E53" i="5"/>
  <c r="AA676" i="2"/>
  <c r="AA684" i="2" s="1"/>
  <c r="O677" i="2"/>
  <c r="T685" i="2" s="1"/>
  <c r="H55" i="5"/>
  <c r="Z30" i="5"/>
  <c r="Z678" i="2"/>
  <c r="Z680" i="2"/>
  <c r="Z675" i="2"/>
  <c r="Z677" i="2"/>
  <c r="Z679" i="2"/>
  <c r="AE687" i="2" s="1"/>
  <c r="Z681" i="2"/>
  <c r="AE689" i="2" s="1"/>
  <c r="Z676" i="2"/>
  <c r="Z326" i="2"/>
  <c r="Z320" i="2"/>
  <c r="Z805" i="2" s="1"/>
  <c r="Z312" i="2"/>
  <c r="Z317" i="2" s="1"/>
  <c r="Z385" i="2"/>
  <c r="Z390" i="2" s="1"/>
  <c r="Z321" i="2"/>
  <c r="Z309" i="2"/>
  <c r="Z310" i="2" s="1"/>
  <c r="J327" i="2"/>
  <c r="AP248" i="2"/>
  <c r="AP245" i="2"/>
  <c r="AP129" i="2"/>
  <c r="AP130" i="2" s="1"/>
  <c r="Y233" i="2"/>
  <c r="R266" i="2"/>
  <c r="AA248" i="2"/>
  <c r="AA245" i="2"/>
  <c r="AA246" i="2" s="1"/>
  <c r="AA129" i="2"/>
  <c r="AA130" i="2" s="1"/>
  <c r="AP797" i="2"/>
  <c r="AP276" i="2"/>
  <c r="Y249" i="2"/>
  <c r="E23" i="5"/>
  <c r="E231" i="2"/>
  <c r="E232" i="2"/>
  <c r="E230" i="2"/>
  <c r="E233" i="2" s="1"/>
  <c r="AF207" i="2"/>
  <c r="AF209" i="2"/>
  <c r="O798" i="2"/>
  <c r="AJ266" i="2"/>
  <c r="S266" i="2"/>
  <c r="AV217" i="2"/>
  <c r="AV218" i="2" s="1"/>
  <c r="AV251" i="2"/>
  <c r="J250" i="2"/>
  <c r="J190" i="2"/>
  <c r="J191" i="2" s="1"/>
  <c r="J315" i="2" s="1"/>
  <c r="AW245" i="2"/>
  <c r="AK204" i="2"/>
  <c r="AU233" i="2"/>
  <c r="J245" i="2"/>
  <c r="J246" i="2" s="1"/>
  <c r="J248" i="2"/>
  <c r="J252" i="2" s="1"/>
  <c r="J129" i="2"/>
  <c r="J130" i="2" s="1"/>
  <c r="J313" i="2" s="1"/>
  <c r="AA26" i="5"/>
  <c r="AA101" i="2"/>
  <c r="AA100" i="2"/>
  <c r="AA113" i="2"/>
  <c r="AA17" i="2"/>
  <c r="AA70" i="2"/>
  <c r="AB100" i="2"/>
  <c r="AP111" i="2"/>
  <c r="AP110" i="2"/>
  <c r="AP20" i="2"/>
  <c r="AP113" i="2"/>
  <c r="AQ23" i="5"/>
  <c r="AQ232" i="2"/>
  <c r="AJ26" i="5"/>
  <c r="AJ101" i="2"/>
  <c r="AJ17" i="2"/>
  <c r="AJ19" i="2" s="1"/>
  <c r="AJ70" i="2"/>
  <c r="AN229" i="2"/>
  <c r="AN233" i="2" s="1"/>
  <c r="P248" i="2"/>
  <c r="P245" i="2"/>
  <c r="P246" i="2" s="1"/>
  <c r="P129" i="2"/>
  <c r="P130" i="2" s="1"/>
  <c r="AS314" i="2"/>
  <c r="AS178" i="2"/>
  <c r="AX177" i="2"/>
  <c r="AR113" i="2"/>
  <c r="AS114" i="2" s="1"/>
  <c r="AR110" i="2"/>
  <c r="AR111" i="2"/>
  <c r="AR20" i="2"/>
  <c r="S25" i="5"/>
  <c r="S11" i="2"/>
  <c r="AF101" i="2"/>
  <c r="AM127" i="2"/>
  <c r="AM13" i="5" s="1"/>
  <c r="AM181" i="2"/>
  <c r="AM126" i="2"/>
  <c r="X12" i="2"/>
  <c r="E871" i="2"/>
  <c r="E862" i="2"/>
  <c r="E860" i="2" s="1"/>
  <c r="E482" i="2" s="1"/>
  <c r="E857" i="2"/>
  <c r="E869" i="2"/>
  <c r="E867" i="2" s="1"/>
  <c r="E864" i="2"/>
  <c r="E855" i="2"/>
  <c r="E853" i="2" s="1"/>
  <c r="E481" i="2" s="1"/>
  <c r="AO51" i="2"/>
  <c r="AO17" i="5" s="1"/>
  <c r="Z23" i="7"/>
  <c r="Z29" i="7" s="1"/>
  <c r="Z25" i="7"/>
  <c r="Z26" i="7"/>
  <c r="Z24" i="7"/>
  <c r="Z27" i="7"/>
  <c r="AT29" i="7"/>
  <c r="L49" i="7"/>
  <c r="M42" i="7" s="1"/>
  <c r="BA777" i="2"/>
  <c r="BB766" i="2"/>
  <c r="BA490" i="2"/>
  <c r="BA9" i="5" s="1"/>
  <c r="AD105" i="5"/>
  <c r="AD106" i="5" s="1"/>
  <c r="AD778" i="2"/>
  <c r="AD788" i="2" s="1"/>
  <c r="AD790" i="2" s="1"/>
  <c r="AL106" i="5"/>
  <c r="J105" i="5"/>
  <c r="J106" i="5" s="1"/>
  <c r="J778" i="2"/>
  <c r="J788" i="2" s="1"/>
  <c r="J790" i="2" s="1"/>
  <c r="X692" i="2"/>
  <c r="X695" i="2" s="1"/>
  <c r="W695" i="2"/>
  <c r="E96" i="5"/>
  <c r="E97" i="5" s="1"/>
  <c r="E790" i="2"/>
  <c r="E802" i="2"/>
  <c r="D96" i="5"/>
  <c r="D97" i="5" s="1"/>
  <c r="D790" i="2"/>
  <c r="D802" i="2"/>
  <c r="AC97" i="5"/>
  <c r="M96" i="5"/>
  <c r="M802" i="2"/>
  <c r="M790" i="2"/>
  <c r="AY442" i="2"/>
  <c r="AY71" i="5" s="1"/>
  <c r="AJ62" i="5"/>
  <c r="AJ433" i="2"/>
  <c r="AJ446" i="2"/>
  <c r="AI62" i="5"/>
  <c r="AI433" i="2"/>
  <c r="AI446" i="2"/>
  <c r="AI447" i="2" s="1"/>
  <c r="AI448" i="2" s="1"/>
  <c r="AI449" i="2" s="1"/>
  <c r="Y62" i="5"/>
  <c r="Y433" i="2"/>
  <c r="Y446" i="2"/>
  <c r="Y447" i="2" s="1"/>
  <c r="Y448" i="2" s="1"/>
  <c r="Y449" i="2" s="1"/>
  <c r="AS574" i="2"/>
  <c r="AS577" i="2" s="1"/>
  <c r="AL462" i="2"/>
  <c r="K459" i="2"/>
  <c r="K462" i="2"/>
  <c r="K463" i="2" s="1"/>
  <c r="AE257" i="2"/>
  <c r="AE348" i="2"/>
  <c r="V462" i="2"/>
  <c r="I711" i="2"/>
  <c r="I694" i="2"/>
  <c r="I462" i="2"/>
  <c r="E348" i="2"/>
  <c r="E257" i="2"/>
  <c r="H711" i="2"/>
  <c r="H694" i="2"/>
  <c r="T462" i="2"/>
  <c r="AH100" i="5"/>
  <c r="AG99" i="5"/>
  <c r="AG100" i="5" s="1"/>
  <c r="AG84" i="5"/>
  <c r="R711" i="2"/>
  <c r="R694" i="2"/>
  <c r="R695" i="2" s="1"/>
  <c r="E711" i="2"/>
  <c r="E694" i="2"/>
  <c r="AC462" i="2"/>
  <c r="AG30" i="5"/>
  <c r="AG679" i="2"/>
  <c r="AG681" i="2"/>
  <c r="AG676" i="2"/>
  <c r="AG678" i="2"/>
  <c r="AG680" i="2"/>
  <c r="AG675" i="2"/>
  <c r="AG677" i="2"/>
  <c r="AG685" i="2" s="1"/>
  <c r="AG385" i="2"/>
  <c r="AG390" i="2" s="1"/>
  <c r="AG309" i="2"/>
  <c r="AG310" i="2" s="1"/>
  <c r="AG326" i="2"/>
  <c r="AG320" i="2"/>
  <c r="AG805" i="2" s="1"/>
  <c r="AG312" i="2"/>
  <c r="AG317" i="2" s="1"/>
  <c r="AG321" i="2"/>
  <c r="Y685" i="2"/>
  <c r="R111" i="5"/>
  <c r="M35" i="5"/>
  <c r="AH103" i="5"/>
  <c r="AH396" i="2"/>
  <c r="AH404" i="2"/>
  <c r="AH391" i="2"/>
  <c r="AH322" i="2"/>
  <c r="AH56" i="5" s="1"/>
  <c r="R798" i="2"/>
  <c r="AA111" i="5"/>
  <c r="V35" i="5"/>
  <c r="AU348" i="2"/>
  <c r="AU257" i="2"/>
  <c r="H348" i="2"/>
  <c r="H257" i="2"/>
  <c r="AK111" i="5"/>
  <c r="AF35" i="5"/>
  <c r="V53" i="5"/>
  <c r="S684" i="2"/>
  <c r="F689" i="2"/>
  <c r="AD686" i="2"/>
  <c r="W111" i="5"/>
  <c r="R35" i="5"/>
  <c r="AO687" i="2"/>
  <c r="AC688" i="2"/>
  <c r="D30" i="5"/>
  <c r="D681" i="2"/>
  <c r="D689" i="2" s="1"/>
  <c r="D676" i="2"/>
  <c r="D684" i="2" s="1"/>
  <c r="D678" i="2"/>
  <c r="D686" i="2" s="1"/>
  <c r="D680" i="2"/>
  <c r="D688" i="2" s="1"/>
  <c r="D675" i="2"/>
  <c r="D683" i="2" s="1"/>
  <c r="D677" i="2"/>
  <c r="D685" i="2" s="1"/>
  <c r="D679" i="2"/>
  <c r="D687" i="2" s="1"/>
  <c r="D385" i="2"/>
  <c r="D390" i="2" s="1"/>
  <c r="D320" i="2"/>
  <c r="D805" i="2" s="1"/>
  <c r="D312" i="2"/>
  <c r="D317" i="2" s="1"/>
  <c r="D327" i="2"/>
  <c r="D321" i="2"/>
  <c r="D309" i="2"/>
  <c r="D310" i="2" s="1"/>
  <c r="D326" i="2"/>
  <c r="AN30" i="5"/>
  <c r="AN680" i="2"/>
  <c r="AN677" i="2"/>
  <c r="AN679" i="2"/>
  <c r="AN681" i="2"/>
  <c r="AN676" i="2"/>
  <c r="AN678" i="2"/>
  <c r="AN675" i="2"/>
  <c r="AN385" i="2"/>
  <c r="AN390" i="2" s="1"/>
  <c r="AN320" i="2"/>
  <c r="AN805" i="2" s="1"/>
  <c r="AN321" i="2"/>
  <c r="AN326" i="2"/>
  <c r="AM103" i="5"/>
  <c r="AM396" i="2"/>
  <c r="AM404" i="2"/>
  <c r="AM391" i="2"/>
  <c r="AM322" i="2"/>
  <c r="AM56" i="5" s="1"/>
  <c r="AA681" i="2"/>
  <c r="AA689" i="2" s="1"/>
  <c r="N348" i="2"/>
  <c r="N257" i="2"/>
  <c r="I276" i="2"/>
  <c r="AD245" i="2"/>
  <c r="AD249" i="2" s="1"/>
  <c r="AD129" i="2"/>
  <c r="AD130" i="2" s="1"/>
  <c r="M233" i="2"/>
  <c r="AG797" i="2"/>
  <c r="AG276" i="2"/>
  <c r="F797" i="2"/>
  <c r="O245" i="2"/>
  <c r="O246" i="2" s="1"/>
  <c r="O129" i="2"/>
  <c r="O130" i="2" s="1"/>
  <c r="AW271" i="2"/>
  <c r="BB270" i="2"/>
  <c r="Q271" i="2"/>
  <c r="AO232" i="2"/>
  <c r="AN217" i="2"/>
  <c r="AN218" i="2" s="1"/>
  <c r="AJ217" i="2"/>
  <c r="AJ218" i="2" s="1"/>
  <c r="AJ251" i="2"/>
  <c r="AF252" i="2"/>
  <c r="AQ249" i="2"/>
  <c r="AD797" i="2"/>
  <c r="AB249" i="2"/>
  <c r="G245" i="2"/>
  <c r="G129" i="2"/>
  <c r="G130" i="2" s="1"/>
  <c r="G313" i="2" s="1"/>
  <c r="X26" i="5"/>
  <c r="X100" i="2"/>
  <c r="X17" i="2"/>
  <c r="X113" i="2"/>
  <c r="AC115" i="2" s="1"/>
  <c r="X70" i="2"/>
  <c r="W250" i="2"/>
  <c r="W252" i="2" s="1"/>
  <c r="W190" i="2"/>
  <c r="W191" i="2" s="1"/>
  <c r="AU177" i="2"/>
  <c r="P799" i="2"/>
  <c r="AG314" i="2"/>
  <c r="AG178" i="2"/>
  <c r="AR23" i="5"/>
  <c r="AR232" i="2"/>
  <c r="AR233" i="2" s="1"/>
  <c r="H23" i="5"/>
  <c r="H232" i="2"/>
  <c r="H230" i="2"/>
  <c r="H233" i="2" s="1"/>
  <c r="AY141" i="2"/>
  <c r="AY145" i="2" s="1"/>
  <c r="R115" i="2"/>
  <c r="H27" i="5"/>
  <c r="H26" i="2"/>
  <c r="H114" i="2"/>
  <c r="AK313" i="2"/>
  <c r="AU183" i="2"/>
  <c r="AU182" i="2"/>
  <c r="AF19" i="2"/>
  <c r="AF18" i="2"/>
  <c r="Z65" i="2"/>
  <c r="Z10" i="2"/>
  <c r="T11" i="2"/>
  <c r="L51" i="2"/>
  <c r="L17" i="5" s="1"/>
  <c r="L50" i="2"/>
  <c r="AU50" i="2"/>
  <c r="AU51" i="2"/>
  <c r="AU17" i="5" s="1"/>
  <c r="AB97" i="5"/>
  <c r="AI96" i="5"/>
  <c r="AI97" i="5" s="1"/>
  <c r="AI802" i="2"/>
  <c r="AI790" i="2"/>
  <c r="T96" i="5"/>
  <c r="T97" i="5" s="1"/>
  <c r="T802" i="2"/>
  <c r="T790" i="2"/>
  <c r="J96" i="5"/>
  <c r="J97" i="5" s="1"/>
  <c r="J107" i="5" s="1"/>
  <c r="J802" i="2"/>
  <c r="AT812" i="2"/>
  <c r="AT711" i="2"/>
  <c r="AL800" i="2"/>
  <c r="F62" i="5"/>
  <c r="F433" i="2"/>
  <c r="F446" i="2"/>
  <c r="F447" i="2" s="1"/>
  <c r="F448" i="2" s="1"/>
  <c r="F449" i="2" s="1"/>
  <c r="AN526" i="2"/>
  <c r="AN574" i="2" s="1"/>
  <c r="AN577" i="2" s="1"/>
  <c r="AN604" i="2"/>
  <c r="AN616" i="2" s="1"/>
  <c r="AR577" i="2"/>
  <c r="AI604" i="2"/>
  <c r="AI616" i="2" s="1"/>
  <c r="AI69" i="5" s="1"/>
  <c r="AI526" i="2"/>
  <c r="AI574" i="2" s="1"/>
  <c r="AI577" i="2" s="1"/>
  <c r="AY455" i="2"/>
  <c r="AY453" i="2"/>
  <c r="K62" i="5"/>
  <c r="K433" i="2"/>
  <c r="K446" i="2"/>
  <c r="K447" i="2" s="1"/>
  <c r="K448" i="2" s="1"/>
  <c r="K449" i="2" s="1"/>
  <c r="X62" i="5"/>
  <c r="X433" i="2"/>
  <c r="X446" i="2"/>
  <c r="X447" i="2" s="1"/>
  <c r="X448" i="2" s="1"/>
  <c r="X449" i="2" s="1"/>
  <c r="Z694" i="2"/>
  <c r="Z695" i="2" s="1"/>
  <c r="Z711" i="2"/>
  <c r="Y462" i="2"/>
  <c r="S348" i="2"/>
  <c r="S257" i="2"/>
  <c r="AV100" i="5"/>
  <c r="AV101" i="5" s="1"/>
  <c r="G711" i="2"/>
  <c r="G694" i="2"/>
  <c r="U84" i="5"/>
  <c r="U99" i="5"/>
  <c r="U100" i="5" s="1"/>
  <c r="U101" i="5" s="1"/>
  <c r="U83" i="5"/>
  <c r="U467" i="2"/>
  <c r="S66" i="5"/>
  <c r="S73" i="5" s="1"/>
  <c r="S131" i="5" s="1"/>
  <c r="S76" i="5"/>
  <c r="S78" i="5" s="1"/>
  <c r="AW257" i="2"/>
  <c r="AW348" i="2"/>
  <c r="D462" i="2"/>
  <c r="D463" i="2" s="1"/>
  <c r="D459" i="2"/>
  <c r="O694" i="2"/>
  <c r="O711" i="2"/>
  <c r="O462" i="2"/>
  <c r="U30" i="5"/>
  <c r="U679" i="2"/>
  <c r="U687" i="2" s="1"/>
  <c r="U681" i="2"/>
  <c r="U689" i="2" s="1"/>
  <c r="U676" i="2"/>
  <c r="U684" i="2" s="1"/>
  <c r="U678" i="2"/>
  <c r="U686" i="2" s="1"/>
  <c r="U680" i="2"/>
  <c r="U688" i="2" s="1"/>
  <c r="U675" i="2"/>
  <c r="U683" i="2" s="1"/>
  <c r="U677" i="2"/>
  <c r="U685" i="2" s="1"/>
  <c r="U385" i="2"/>
  <c r="U390" i="2" s="1"/>
  <c r="U326" i="2"/>
  <c r="U320" i="2"/>
  <c r="U805" i="2" s="1"/>
  <c r="U312" i="2"/>
  <c r="U317" i="2" s="1"/>
  <c r="U321" i="2"/>
  <c r="Y683" i="2"/>
  <c r="AO53" i="5"/>
  <c r="AW126" i="5"/>
  <c r="AW38" i="5"/>
  <c r="AW43" i="5" s="1"/>
  <c r="X685" i="2"/>
  <c r="AU30" i="5"/>
  <c r="AU53" i="5" s="1"/>
  <c r="AU678" i="2"/>
  <c r="AU675" i="2"/>
  <c r="AU679" i="2"/>
  <c r="AU385" i="2"/>
  <c r="AU390" i="2" s="1"/>
  <c r="AU326" i="2"/>
  <c r="AU320" i="2"/>
  <c r="AU805" i="2" s="1"/>
  <c r="AU312" i="2"/>
  <c r="AU317" i="2" s="1"/>
  <c r="AU321" i="2"/>
  <c r="AU309" i="2"/>
  <c r="AU310" i="2" s="1"/>
  <c r="T103" i="5"/>
  <c r="T104" i="5" s="1"/>
  <c r="T396" i="2"/>
  <c r="T404" i="2"/>
  <c r="T391" i="2"/>
  <c r="T322" i="2"/>
  <c r="T56" i="5" s="1"/>
  <c r="AE688" i="2"/>
  <c r="K111" i="5"/>
  <c r="F35" i="5"/>
  <c r="AD684" i="2"/>
  <c r="E103" i="5"/>
  <c r="E104" i="5" s="1"/>
  <c r="E396" i="2"/>
  <c r="E404" i="2"/>
  <c r="E391" i="2"/>
  <c r="E322" i="2"/>
  <c r="E56" i="5" s="1"/>
  <c r="AS33" i="5"/>
  <c r="AO685" i="2"/>
  <c r="AH111" i="5"/>
  <c r="AC35" i="5"/>
  <c r="AS343" i="2"/>
  <c r="AS381" i="2"/>
  <c r="AU677" i="2" s="1"/>
  <c r="AS255" i="2"/>
  <c r="AB348" i="2"/>
  <c r="AB257" i="2"/>
  <c r="C119" i="5"/>
  <c r="C35" i="5"/>
  <c r="AA679" i="2"/>
  <c r="AA687" i="2" s="1"/>
  <c r="N30" i="5"/>
  <c r="N678" i="2"/>
  <c r="S686" i="2" s="1"/>
  <c r="N680" i="2"/>
  <c r="S688" i="2" s="1"/>
  <c r="N675" i="2"/>
  <c r="S683" i="2" s="1"/>
  <c r="N677" i="2"/>
  <c r="S685" i="2" s="1"/>
  <c r="N679" i="2"/>
  <c r="N681" i="2"/>
  <c r="S689" i="2" s="1"/>
  <c r="N676" i="2"/>
  <c r="N326" i="2"/>
  <c r="N320" i="2"/>
  <c r="N805" i="2" s="1"/>
  <c r="N312" i="2"/>
  <c r="N317" i="2" s="1"/>
  <c r="N385" i="2"/>
  <c r="N390" i="2" s="1"/>
  <c r="N321" i="2"/>
  <c r="N309" i="2"/>
  <c r="N310" i="2" s="1"/>
  <c r="R248" i="2"/>
  <c r="R245" i="2"/>
  <c r="R246" i="2" s="1"/>
  <c r="R129" i="2"/>
  <c r="R130" i="2" s="1"/>
  <c r="AL799" i="2"/>
  <c r="AD271" i="2"/>
  <c r="AG327" i="2"/>
  <c r="C248" i="2"/>
  <c r="C245" i="2"/>
  <c r="C129" i="2"/>
  <c r="C130" i="2" s="1"/>
  <c r="C313" i="2" s="1"/>
  <c r="W799" i="2"/>
  <c r="AC232" i="2"/>
  <c r="AB251" i="2"/>
  <c r="AB217" i="2"/>
  <c r="AB218" i="2" s="1"/>
  <c r="AB316" i="2" s="1"/>
  <c r="F361" i="2"/>
  <c r="F368" i="2" s="1"/>
  <c r="AW251" i="2"/>
  <c r="AW217" i="2"/>
  <c r="AW218" i="2" s="1"/>
  <c r="AH231" i="2"/>
  <c r="AR271" i="2"/>
  <c r="T252" i="2"/>
  <c r="AK245" i="2"/>
  <c r="AK250" i="2" s="1"/>
  <c r="F266" i="2"/>
  <c r="AO26" i="5"/>
  <c r="AO101" i="2"/>
  <c r="AO109" i="2"/>
  <c r="AO70" i="2"/>
  <c r="AO104" i="2"/>
  <c r="AO107" i="2" s="1"/>
  <c r="AO17" i="2"/>
  <c r="AO19" i="2" s="1"/>
  <c r="AI233" i="2"/>
  <c r="N252" i="2"/>
  <c r="AH245" i="2"/>
  <c r="AH246" i="2" s="1"/>
  <c r="AH129" i="2"/>
  <c r="AH130" i="2" s="1"/>
  <c r="J23" i="5"/>
  <c r="J232" i="2"/>
  <c r="J230" i="2"/>
  <c r="J233" i="2" s="1"/>
  <c r="AR130" i="2"/>
  <c r="AW131" i="2" s="1"/>
  <c r="AR181" i="2"/>
  <c r="AR126" i="2"/>
  <c r="AR127" i="2"/>
  <c r="AR13" i="5" s="1"/>
  <c r="AL314" i="2"/>
  <c r="AL178" i="2"/>
  <c r="G233" i="2"/>
  <c r="R233" i="2"/>
  <c r="AI314" i="2"/>
  <c r="AI178" i="2"/>
  <c r="AM111" i="2"/>
  <c r="AM110" i="2"/>
  <c r="AM20" i="2"/>
  <c r="AN248" i="2"/>
  <c r="AN245" i="2"/>
  <c r="AN246" i="2" s="1"/>
  <c r="AN129" i="2"/>
  <c r="AN130" i="2" s="1"/>
  <c r="AC206" i="2"/>
  <c r="AC204" i="2"/>
  <c r="AE204" i="2" s="1"/>
  <c r="AU158" i="2"/>
  <c r="AZ157" i="2"/>
  <c r="AR250" i="2"/>
  <c r="AR190" i="2"/>
  <c r="AR191" i="2" s="1"/>
  <c r="H250" i="2"/>
  <c r="H190" i="2"/>
  <c r="H191" i="2" s="1"/>
  <c r="H315" i="2" s="1"/>
  <c r="AW313" i="2"/>
  <c r="BB130" i="2"/>
  <c r="BB313" i="2" s="1"/>
  <c r="R114" i="2"/>
  <c r="AL111" i="2"/>
  <c r="AL110" i="2"/>
  <c r="AL113" i="2"/>
  <c r="AM114" i="2" s="1"/>
  <c r="AL20" i="2"/>
  <c r="AU18" i="2"/>
  <c r="AU19" i="2"/>
  <c r="M313" i="2"/>
  <c r="M131" i="2"/>
  <c r="AH181" i="2"/>
  <c r="AG181" i="2"/>
  <c r="AG126" i="2"/>
  <c r="AG127" i="2"/>
  <c r="AG13" i="5" s="1"/>
  <c r="G27" i="5"/>
  <c r="G26" i="2"/>
  <c r="L28" i="2" s="1"/>
  <c r="AN314" i="2"/>
  <c r="AN178" i="2"/>
  <c r="AT26" i="5"/>
  <c r="AT109" i="2"/>
  <c r="AT101" i="2"/>
  <c r="AT70" i="2"/>
  <c r="AT17" i="2"/>
  <c r="AT105" i="2"/>
  <c r="AT107" i="2" s="1"/>
  <c r="N70" i="2"/>
  <c r="O64" i="2"/>
  <c r="N10" i="2"/>
  <c r="N64" i="2"/>
  <c r="AU110" i="2"/>
  <c r="AU111" i="2"/>
  <c r="AU113" i="2"/>
  <c r="AU20" i="2"/>
  <c r="AJ104" i="2"/>
  <c r="AJ107" i="2" s="1"/>
  <c r="AW50" i="2"/>
  <c r="AW51" i="2"/>
  <c r="AW17" i="5" s="1"/>
  <c r="Z26" i="5"/>
  <c r="Z70" i="2"/>
  <c r="Z113" i="2"/>
  <c r="Z17" i="2"/>
  <c r="Z19" i="2" s="1"/>
  <c r="AJ25" i="5"/>
  <c r="AJ12" i="2"/>
  <c r="AD50" i="2"/>
  <c r="AD51" i="2"/>
  <c r="AD17" i="5" s="1"/>
  <c r="AC51" i="2"/>
  <c r="AC17" i="5" s="1"/>
  <c r="AC50" i="2"/>
  <c r="AB51" i="2"/>
  <c r="AB17" i="5" s="1"/>
  <c r="AB50" i="2"/>
  <c r="AN51" i="2"/>
  <c r="AN17" i="5" s="1"/>
  <c r="AN50" i="2"/>
  <c r="U26" i="7"/>
  <c r="U24" i="7"/>
  <c r="U27" i="7"/>
  <c r="U23" i="7"/>
  <c r="K23" i="7"/>
  <c r="K29" i="7" s="1"/>
  <c r="K26" i="7"/>
  <c r="K24" i="7"/>
  <c r="K27" i="7"/>
  <c r="K25" i="7"/>
  <c r="AC23" i="7"/>
  <c r="AC29" i="7" s="1"/>
  <c r="AC25" i="7"/>
  <c r="AC26" i="7"/>
  <c r="AC24" i="7"/>
  <c r="AC27" i="7"/>
  <c r="Z106" i="5"/>
  <c r="Z107" i="5" s="1"/>
  <c r="AG106" i="5"/>
  <c r="R106" i="5"/>
  <c r="AE97" i="5"/>
  <c r="O692" i="2"/>
  <c r="N695" i="2"/>
  <c r="Y695" i="2"/>
  <c r="Z664" i="2"/>
  <c r="Z800" i="2" s="1"/>
  <c r="AO83" i="5"/>
  <c r="AO84" i="5"/>
  <c r="AO99" i="5"/>
  <c r="AO100" i="5" s="1"/>
  <c r="AO101" i="5" s="1"/>
  <c r="AO467" i="2"/>
  <c r="Q69" i="5"/>
  <c r="O100" i="5"/>
  <c r="O101" i="5" s="1"/>
  <c r="O616" i="2"/>
  <c r="O69" i="5" s="1"/>
  <c r="AB616" i="2"/>
  <c r="Z462" i="2"/>
  <c r="Z463" i="2" s="1"/>
  <c r="Z459" i="2"/>
  <c r="AB100" i="5"/>
  <c r="AB101" i="5" s="1"/>
  <c r="N100" i="5"/>
  <c r="N101" i="5" s="1"/>
  <c r="G348" i="2"/>
  <c r="G257" i="2"/>
  <c r="H462" i="2"/>
  <c r="F711" i="2"/>
  <c r="F694" i="2"/>
  <c r="F695" i="2" s="1"/>
  <c r="AP462" i="2"/>
  <c r="Q462" i="2"/>
  <c r="AK257" i="2"/>
  <c r="AK348" i="2"/>
  <c r="I30" i="5"/>
  <c r="I385" i="2"/>
  <c r="I390" i="2" s="1"/>
  <c r="I797" i="2" s="1"/>
  <c r="I309" i="2"/>
  <c r="I310" i="2" s="1"/>
  <c r="I326" i="2"/>
  <c r="I320" i="2"/>
  <c r="I805" i="2" s="1"/>
  <c r="I312" i="2"/>
  <c r="I317" i="2" s="1"/>
  <c r="I321" i="2"/>
  <c r="AH358" i="2"/>
  <c r="AH356" i="2"/>
  <c r="AH677" i="2"/>
  <c r="AH685" i="2" s="1"/>
  <c r="AJ103" i="5"/>
  <c r="AJ104" i="5" s="1"/>
  <c r="AJ404" i="2"/>
  <c r="AJ391" i="2"/>
  <c r="AJ396" i="2"/>
  <c r="AJ322" i="2"/>
  <c r="AJ56" i="5" s="1"/>
  <c r="X675" i="2"/>
  <c r="X683" i="2" s="1"/>
  <c r="L676" i="2"/>
  <c r="Q684" i="2" s="1"/>
  <c r="AV681" i="2"/>
  <c r="AS462" i="2"/>
  <c r="I358" i="2"/>
  <c r="I356" i="2"/>
  <c r="X53" i="5"/>
  <c r="T687" i="2"/>
  <c r="AQ103" i="5"/>
  <c r="AQ396" i="2"/>
  <c r="AQ404" i="2"/>
  <c r="AQ391" i="2"/>
  <c r="AQ322" i="2"/>
  <c r="AQ56" i="5" s="1"/>
  <c r="AE686" i="2"/>
  <c r="S687" i="2"/>
  <c r="J312" i="2"/>
  <c r="J317" i="2" s="1"/>
  <c r="AP680" i="2"/>
  <c r="AD689" i="2"/>
  <c r="AO683" i="2"/>
  <c r="Q103" i="5"/>
  <c r="Q396" i="2"/>
  <c r="Q404" i="2"/>
  <c r="Q391" i="2"/>
  <c r="Q322" i="2"/>
  <c r="Q56" i="5" s="1"/>
  <c r="AB30" i="5"/>
  <c r="AB680" i="2"/>
  <c r="AB688" i="2" s="1"/>
  <c r="AB677" i="2"/>
  <c r="AB685" i="2" s="1"/>
  <c r="AB679" i="2"/>
  <c r="AB687" i="2" s="1"/>
  <c r="AB681" i="2"/>
  <c r="AB689" i="2" s="1"/>
  <c r="AB676" i="2"/>
  <c r="AB684" i="2" s="1"/>
  <c r="AB678" i="2"/>
  <c r="AB686" i="2" s="1"/>
  <c r="AB675" i="2"/>
  <c r="AB385" i="2"/>
  <c r="AB390" i="2" s="1"/>
  <c r="AB320" i="2"/>
  <c r="AB805" i="2" s="1"/>
  <c r="AB312" i="2"/>
  <c r="AB317" i="2" s="1"/>
  <c r="AB327" i="2"/>
  <c r="AB321" i="2"/>
  <c r="AB309" i="2"/>
  <c r="AB310" i="2" s="1"/>
  <c r="AB326" i="2"/>
  <c r="AM676" i="2"/>
  <c r="AM684" i="2" s="1"/>
  <c r="AA677" i="2"/>
  <c r="AA685" i="2" s="1"/>
  <c r="T111" i="5"/>
  <c r="O35" i="5"/>
  <c r="J348" i="2"/>
  <c r="J257" i="2"/>
  <c r="F245" i="2"/>
  <c r="F246" i="2" s="1"/>
  <c r="F129" i="2"/>
  <c r="F130" i="2" s="1"/>
  <c r="AM230" i="2"/>
  <c r="U327" i="2"/>
  <c r="AQ217" i="2"/>
  <c r="AQ218" i="2" s="1"/>
  <c r="AQ251" i="2"/>
  <c r="AE232" i="2"/>
  <c r="AK271" i="2"/>
  <c r="AM250" i="2"/>
  <c r="AM190" i="2"/>
  <c r="AM191" i="2" s="1"/>
  <c r="P327" i="2"/>
  <c r="AF230" i="2"/>
  <c r="AK251" i="2"/>
  <c r="AK217" i="2"/>
  <c r="AK218" i="2" s="1"/>
  <c r="AL327" i="2"/>
  <c r="H252" i="2"/>
  <c r="AO230" i="2"/>
  <c r="AO233" i="2" s="1"/>
  <c r="Y248" i="2"/>
  <c r="X245" i="2"/>
  <c r="X246" i="2" s="1"/>
  <c r="X248" i="2"/>
  <c r="X129" i="2"/>
  <c r="X130" i="2" s="1"/>
  <c r="E26" i="5"/>
  <c r="E113" i="2"/>
  <c r="E17" i="2"/>
  <c r="AH229" i="2"/>
  <c r="AH233" i="2" s="1"/>
  <c r="J799" i="2"/>
  <c r="AF130" i="2"/>
  <c r="AF181" i="2"/>
  <c r="AF127" i="2"/>
  <c r="AF13" i="5" s="1"/>
  <c r="AF126" i="2"/>
  <c r="AH209" i="2"/>
  <c r="AH207" i="2"/>
  <c r="AL250" i="2"/>
  <c r="AL190" i="2"/>
  <c r="AL191" i="2" s="1"/>
  <c r="AG207" i="2"/>
  <c r="AG209" i="2"/>
  <c r="E103" i="2"/>
  <c r="E107" i="2" s="1"/>
  <c r="AE315" i="2"/>
  <c r="AE192" i="2"/>
  <c r="AE248" i="2"/>
  <c r="AE245" i="2"/>
  <c r="AE249" i="2" s="1"/>
  <c r="AE129" i="2"/>
  <c r="AE130" i="2" s="1"/>
  <c r="G23" i="5"/>
  <c r="G232" i="2"/>
  <c r="G230" i="2"/>
  <c r="AO315" i="2"/>
  <c r="AO192" i="2"/>
  <c r="AS232" i="2"/>
  <c r="W187" i="2"/>
  <c r="W185" i="2"/>
  <c r="X187" i="2"/>
  <c r="W188" i="2"/>
  <c r="W15" i="5" s="1"/>
  <c r="AB188" i="2"/>
  <c r="AB15" i="5" s="1"/>
  <c r="AN799" i="2"/>
  <c r="D229" i="2"/>
  <c r="D233" i="2" s="1"/>
  <c r="AT249" i="2"/>
  <c r="AG266" i="2"/>
  <c r="AS313" i="2"/>
  <c r="AX130" i="2"/>
  <c r="AS131" i="2"/>
  <c r="AL130" i="2"/>
  <c r="AO65" i="2"/>
  <c r="AO10" i="2"/>
  <c r="AG27" i="5"/>
  <c r="AG26" i="2"/>
  <c r="AI110" i="2"/>
  <c r="AI20" i="2"/>
  <c r="AQ164" i="2"/>
  <c r="AT127" i="2"/>
  <c r="AT13" i="5" s="1"/>
  <c r="R50" i="2"/>
  <c r="R51" i="2"/>
  <c r="R17" i="5" s="1"/>
  <c r="AL50" i="2"/>
  <c r="AL51" i="2"/>
  <c r="AL17" i="5" s="1"/>
  <c r="K51" i="2"/>
  <c r="K17" i="5" s="1"/>
  <c r="F865" i="2"/>
  <c r="F858" i="2"/>
  <c r="F872" i="2"/>
  <c r="F877" i="2" l="1"/>
  <c r="F876" i="2"/>
  <c r="F874" i="2" s="1"/>
  <c r="F484" i="2" s="1"/>
  <c r="AM107" i="5"/>
  <c r="AM683" i="2"/>
  <c r="AR683" i="2"/>
  <c r="AX123" i="2"/>
  <c r="AX122" i="2"/>
  <c r="AX125" i="2"/>
  <c r="AY121" i="2"/>
  <c r="AZ677" i="2"/>
  <c r="AU685" i="2"/>
  <c r="H576" i="2"/>
  <c r="G577" i="2"/>
  <c r="N25" i="5"/>
  <c r="N11" i="2"/>
  <c r="O11" i="2"/>
  <c r="Z111" i="5"/>
  <c r="U35" i="5"/>
  <c r="U54" i="5"/>
  <c r="U53" i="5"/>
  <c r="U55" i="5"/>
  <c r="AH420" i="2"/>
  <c r="AH419" i="2"/>
  <c r="AH408" i="2"/>
  <c r="AQ126" i="5"/>
  <c r="AQ38" i="5"/>
  <c r="AQ43" i="5" s="1"/>
  <c r="BB99" i="2"/>
  <c r="BB104" i="2" s="1"/>
  <c r="BB107" i="2" s="1"/>
  <c r="BB92" i="2"/>
  <c r="BB135" i="2"/>
  <c r="BC90" i="2"/>
  <c r="BD90" i="2" s="1"/>
  <c r="BB14" i="2"/>
  <c r="BB54" i="2"/>
  <c r="F408" i="2"/>
  <c r="F420" i="2"/>
  <c r="F419" i="2"/>
  <c r="AF313" i="2"/>
  <c r="AF131" i="2"/>
  <c r="AH361" i="2"/>
  <c r="AH368" i="2" s="1"/>
  <c r="Z27" i="5"/>
  <c r="Z115" i="2"/>
  <c r="Z26" i="2"/>
  <c r="Z28" i="2" s="1"/>
  <c r="AB798" i="2"/>
  <c r="AB352" i="2"/>
  <c r="AB354" i="2" s="1"/>
  <c r="E397" i="2"/>
  <c r="E328" i="2"/>
  <c r="E58" i="5" s="1"/>
  <c r="T397" i="2"/>
  <c r="T328" i="2"/>
  <c r="T58" i="5" s="1"/>
  <c r="X249" i="2"/>
  <c r="X252" i="2" s="1"/>
  <c r="O313" i="2"/>
  <c r="O131" i="2"/>
  <c r="T131" i="2"/>
  <c r="AN103" i="5"/>
  <c r="AN396" i="2"/>
  <c r="AN404" i="2"/>
  <c r="AN391" i="2"/>
  <c r="AN322" i="2"/>
  <c r="AN56" i="5" s="1"/>
  <c r="AH397" i="2"/>
  <c r="AH328" i="2"/>
  <c r="AH58" i="5" s="1"/>
  <c r="AG683" i="2"/>
  <c r="E798" i="2"/>
  <c r="E352" i="2"/>
  <c r="E354" i="2" s="1"/>
  <c r="S12" i="2"/>
  <c r="AO204" i="2"/>
  <c r="X48" i="5"/>
  <c r="X128" i="5" s="1"/>
  <c r="X323" i="2"/>
  <c r="X57" i="5" s="1"/>
  <c r="X279" i="2"/>
  <c r="AQ798" i="2"/>
  <c r="AQ352" i="2"/>
  <c r="AQ354" i="2" s="1"/>
  <c r="AD107" i="5"/>
  <c r="N28" i="2"/>
  <c r="N27" i="2"/>
  <c r="O27" i="2"/>
  <c r="AS28" i="2"/>
  <c r="AJ313" i="2"/>
  <c r="AJ131" i="2"/>
  <c r="AC274" i="2"/>
  <c r="AH258" i="2"/>
  <c r="AC259" i="2"/>
  <c r="AC258" i="2"/>
  <c r="AF97" i="5"/>
  <c r="AU248" i="2"/>
  <c r="E313" i="2"/>
  <c r="E131" i="2"/>
  <c r="AL689" i="2"/>
  <c r="C798" i="2"/>
  <c r="C352" i="2"/>
  <c r="C354" i="2" s="1"/>
  <c r="O664" i="2"/>
  <c r="G1" i="5"/>
  <c r="G877" i="2"/>
  <c r="H4" i="2"/>
  <c r="G3" i="2"/>
  <c r="G54" i="2" s="1"/>
  <c r="H48" i="5"/>
  <c r="H128" i="5" s="1"/>
  <c r="H279" i="2"/>
  <c r="H283" i="2" s="1"/>
  <c r="H323" i="2"/>
  <c r="H57" i="5" s="1"/>
  <c r="AS75" i="5"/>
  <c r="AS64" i="5"/>
  <c r="AZ18" i="2"/>
  <c r="AZ19" i="2"/>
  <c r="S313" i="2"/>
  <c r="S131" i="2"/>
  <c r="AK315" i="2"/>
  <c r="AK192" i="2"/>
  <c r="F250" i="2"/>
  <c r="AV397" i="2"/>
  <c r="AV328" i="2"/>
  <c r="AV58" i="5" s="1"/>
  <c r="AU218" i="2"/>
  <c r="AN315" i="2"/>
  <c r="AN192" i="2"/>
  <c r="BA138" i="2"/>
  <c r="BA140" i="2"/>
  <c r="BA142" i="2" s="1"/>
  <c r="AF233" i="2"/>
  <c r="AS315" i="2"/>
  <c r="AX191" i="2"/>
  <c r="AS192" i="2"/>
  <c r="F397" i="2"/>
  <c r="F328" i="2"/>
  <c r="F58" i="5" s="1"/>
  <c r="AW420" i="2"/>
  <c r="AW408" i="2"/>
  <c r="AW419" i="2"/>
  <c r="F706" i="2"/>
  <c r="F704" i="2"/>
  <c r="AM233" i="2"/>
  <c r="AI31" i="5"/>
  <c r="AI312" i="2"/>
  <c r="AI317" i="2" s="1"/>
  <c r="AI309" i="2"/>
  <c r="AI310" i="2" s="1"/>
  <c r="AA315" i="2"/>
  <c r="AA192" i="2"/>
  <c r="AF73" i="5"/>
  <c r="AF131" i="5" s="1"/>
  <c r="AV126" i="5"/>
  <c r="AV38" i="5"/>
  <c r="AV43" i="5" s="1"/>
  <c r="Y126" i="5"/>
  <c r="Y38" i="5"/>
  <c r="Y43" i="5" s="1"/>
  <c r="AN97" i="5"/>
  <c r="AN106" i="5"/>
  <c r="AR106" i="5"/>
  <c r="AP106" i="5"/>
  <c r="AQ106" i="5"/>
  <c r="AT420" i="2"/>
  <c r="AT419" i="2"/>
  <c r="AT408" i="2"/>
  <c r="AM29" i="7"/>
  <c r="Y258" i="2"/>
  <c r="Y274" i="2"/>
  <c r="Y259" i="2"/>
  <c r="AD258" i="2"/>
  <c r="AF182" i="2"/>
  <c r="AF185" i="2"/>
  <c r="AF183" i="2"/>
  <c r="I361" i="2"/>
  <c r="I368" i="2" s="1"/>
  <c r="AB258" i="2"/>
  <c r="AB274" i="2"/>
  <c r="AB259" i="2"/>
  <c r="AG258" i="2"/>
  <c r="BC766" i="2"/>
  <c r="BB490" i="2"/>
  <c r="BB9" i="5" s="1"/>
  <c r="AU130" i="2"/>
  <c r="AV185" i="2"/>
  <c r="AV182" i="2"/>
  <c r="AV183" i="2"/>
  <c r="AO246" i="2"/>
  <c r="AO250" i="2"/>
  <c r="AL313" i="2"/>
  <c r="AL131" i="2"/>
  <c r="AK316" i="2"/>
  <c r="AK219" i="2"/>
  <c r="AN313" i="2"/>
  <c r="AN131" i="2"/>
  <c r="AW316" i="2"/>
  <c r="BB218" i="2"/>
  <c r="BB316" i="2" s="1"/>
  <c r="AW219" i="2"/>
  <c r="AS270" i="2"/>
  <c r="AS265" i="2"/>
  <c r="AU683" i="2"/>
  <c r="AZ675" i="2"/>
  <c r="Z25" i="5"/>
  <c r="Z12" i="2"/>
  <c r="W315" i="2"/>
  <c r="W192" i="2"/>
  <c r="N274" i="2"/>
  <c r="N258" i="2"/>
  <c r="N259" i="2"/>
  <c r="N261" i="2" s="1"/>
  <c r="H274" i="2"/>
  <c r="H259" i="2"/>
  <c r="AG688" i="2"/>
  <c r="E107" i="5"/>
  <c r="E108" i="5" s="1"/>
  <c r="E483" i="2"/>
  <c r="E485" i="2" s="1"/>
  <c r="AW246" i="2"/>
  <c r="AW248" i="2"/>
  <c r="Z684" i="2"/>
  <c r="AN348" i="2"/>
  <c r="AN257" i="2"/>
  <c r="X420" i="2"/>
  <c r="X408" i="2"/>
  <c r="X419" i="2"/>
  <c r="AA107" i="5"/>
  <c r="AC798" i="2"/>
  <c r="AC352" i="2"/>
  <c r="AC354" i="2" s="1"/>
  <c r="Z100" i="5"/>
  <c r="Z101" i="5" s="1"/>
  <c r="AZ804" i="2"/>
  <c r="AZ631" i="2"/>
  <c r="BD619" i="2"/>
  <c r="C867" i="2"/>
  <c r="C483" i="2" s="1"/>
  <c r="C485" i="2" s="1"/>
  <c r="A867" i="2"/>
  <c r="E246" i="2"/>
  <c r="E250" i="2"/>
  <c r="AL687" i="2"/>
  <c r="T126" i="5"/>
  <c r="T38" i="5"/>
  <c r="T43" i="5" s="1"/>
  <c r="Y114" i="5"/>
  <c r="T75" i="5"/>
  <c r="T64" i="5"/>
  <c r="AF803" i="2"/>
  <c r="AF672" i="2"/>
  <c r="AG666" i="2"/>
  <c r="AG667" i="2" s="1"/>
  <c r="AR107" i="5"/>
  <c r="AI246" i="2"/>
  <c r="AI248" i="2"/>
  <c r="AI249" i="2"/>
  <c r="Y315" i="2"/>
  <c r="Y192" i="2"/>
  <c r="AO48" i="5"/>
  <c r="AO128" i="5" s="1"/>
  <c r="AO279" i="2"/>
  <c r="AO323" i="2"/>
  <c r="AO57" i="5" s="1"/>
  <c r="H408" i="2"/>
  <c r="H420" i="2"/>
  <c r="H419" i="2"/>
  <c r="AH126" i="5"/>
  <c r="AH38" i="5"/>
  <c r="AH43" i="5" s="1"/>
  <c r="AK97" i="5"/>
  <c r="S246" i="2"/>
  <c r="S250" i="2"/>
  <c r="AG233" i="2"/>
  <c r="AV48" i="5"/>
  <c r="AV128" i="5" s="1"/>
  <c r="AV323" i="2"/>
  <c r="AV57" i="5" s="1"/>
  <c r="AV279" i="2"/>
  <c r="AN250" i="2"/>
  <c r="AV361" i="2"/>
  <c r="AV368" i="2" s="1"/>
  <c r="AV375" i="2"/>
  <c r="AV378" i="2" s="1"/>
  <c r="T100" i="5"/>
  <c r="T101" i="5" s="1"/>
  <c r="AW397" i="2"/>
  <c r="AW328" i="2"/>
  <c r="AW58" i="5" s="1"/>
  <c r="AZ25" i="5"/>
  <c r="AZ11" i="2"/>
  <c r="AZ12" i="2"/>
  <c r="AI313" i="2"/>
  <c r="AI131" i="2"/>
  <c r="AO126" i="5"/>
  <c r="AO38" i="5"/>
  <c r="AO43" i="5" s="1"/>
  <c r="AI270" i="2"/>
  <c r="AI265" i="2"/>
  <c r="AY25" i="5"/>
  <c r="AY12" i="2"/>
  <c r="AS316" i="2"/>
  <c r="AS219" i="2"/>
  <c r="AX218" i="2"/>
  <c r="AA250" i="2"/>
  <c r="E683" i="2"/>
  <c r="P664" i="2"/>
  <c r="AF106" i="5"/>
  <c r="AI25" i="7"/>
  <c r="AI26" i="7"/>
  <c r="AI24" i="7"/>
  <c r="AI23" i="7"/>
  <c r="AI27" i="7"/>
  <c r="AT397" i="2"/>
  <c r="AT328" i="2"/>
  <c r="AT58" i="5" s="1"/>
  <c r="P706" i="2"/>
  <c r="P704" i="2"/>
  <c r="T408" i="2"/>
  <c r="T420" i="2"/>
  <c r="T419" i="2"/>
  <c r="K315" i="2"/>
  <c r="K192" i="2"/>
  <c r="BG200" i="2"/>
  <c r="C803" i="2"/>
  <c r="C672" i="2"/>
  <c r="D666" i="2"/>
  <c r="D667" i="2" s="1"/>
  <c r="AT48" i="5"/>
  <c r="AT128" i="5" s="1"/>
  <c r="AT323" i="2"/>
  <c r="AT57" i="5" s="1"/>
  <c r="AT279" i="2"/>
  <c r="Y798" i="2"/>
  <c r="Y352" i="2"/>
  <c r="Y354" i="2" s="1"/>
  <c r="F313" i="2"/>
  <c r="F131" i="2"/>
  <c r="K131" i="2"/>
  <c r="AG111" i="5"/>
  <c r="AB35" i="5"/>
  <c r="AB55" i="5"/>
  <c r="AB54" i="5"/>
  <c r="AB53" i="5"/>
  <c r="AB69" i="5"/>
  <c r="AE811" i="2"/>
  <c r="AS30" i="5"/>
  <c r="AS679" i="2"/>
  <c r="AS681" i="2"/>
  <c r="AS676" i="2"/>
  <c r="AS678" i="2"/>
  <c r="AS680" i="2"/>
  <c r="AS675" i="2"/>
  <c r="AS677" i="2"/>
  <c r="AS385" i="2"/>
  <c r="AS390" i="2" s="1"/>
  <c r="AS326" i="2"/>
  <c r="AS320" i="2"/>
  <c r="AS805" i="2" s="1"/>
  <c r="AS312" i="2"/>
  <c r="AS317" i="2" s="1"/>
  <c r="AS799" i="2"/>
  <c r="AV676" i="2"/>
  <c r="AS309" i="2"/>
  <c r="AS310" i="2" s="1"/>
  <c r="AV677" i="2"/>
  <c r="AW679" i="2"/>
  <c r="AV679" i="2"/>
  <c r="AW681" i="2"/>
  <c r="AW676" i="2"/>
  <c r="AR684" i="2"/>
  <c r="AU680" i="2"/>
  <c r="AN69" i="5"/>
  <c r="AO811" i="2"/>
  <c r="O248" i="2"/>
  <c r="O252" i="2" s="1"/>
  <c r="N798" i="2"/>
  <c r="N352" i="2"/>
  <c r="N354" i="2" s="1"/>
  <c r="R126" i="5"/>
  <c r="R38" i="5"/>
  <c r="R43" i="5" s="1"/>
  <c r="H798" i="2"/>
  <c r="H352" i="2"/>
  <c r="H354" i="2" s="1"/>
  <c r="M126" i="5"/>
  <c r="M38" i="5"/>
  <c r="M43" i="5" s="1"/>
  <c r="AG686" i="2"/>
  <c r="L50" i="7"/>
  <c r="AR22" i="2"/>
  <c r="AR21" i="2"/>
  <c r="AW22" i="2"/>
  <c r="AS21" i="2"/>
  <c r="AA18" i="2"/>
  <c r="AA19" i="2"/>
  <c r="AB18" i="2"/>
  <c r="Z689" i="2"/>
  <c r="D258" i="2"/>
  <c r="D274" i="2"/>
  <c r="D259" i="2"/>
  <c r="AX27" i="5"/>
  <c r="AX114" i="2"/>
  <c r="BC113" i="2"/>
  <c r="AX26" i="2"/>
  <c r="AQ115" i="2"/>
  <c r="I246" i="2"/>
  <c r="I248" i="2"/>
  <c r="I252" i="2" s="1"/>
  <c r="AM313" i="2"/>
  <c r="AM131" i="2"/>
  <c r="Q126" i="5"/>
  <c r="Q38" i="5"/>
  <c r="Q43" i="5" s="1"/>
  <c r="G48" i="5"/>
  <c r="G128" i="5" s="1"/>
  <c r="G279" i="2"/>
  <c r="G283" i="2" s="1"/>
  <c r="G323" i="2"/>
  <c r="G57" i="5" s="1"/>
  <c r="AJ126" i="5"/>
  <c r="AJ38" i="5"/>
  <c r="AJ43" i="5" s="1"/>
  <c r="AH27" i="5"/>
  <c r="AH114" i="2"/>
  <c r="AH26" i="2"/>
  <c r="AH27" i="2" s="1"/>
  <c r="E252" i="2"/>
  <c r="AL685" i="2"/>
  <c r="F871" i="2"/>
  <c r="F862" i="2"/>
  <c r="F860" i="2" s="1"/>
  <c r="F482" i="2" s="1"/>
  <c r="F857" i="2"/>
  <c r="F869" i="2"/>
  <c r="F867" i="2" s="1"/>
  <c r="F864" i="2"/>
  <c r="F855" i="2"/>
  <c r="F853" i="2" s="1"/>
  <c r="F481" i="2" s="1"/>
  <c r="AX164" i="2"/>
  <c r="AT313" i="2"/>
  <c r="AT131" i="2"/>
  <c r="AO420" i="2"/>
  <c r="AO408" i="2"/>
  <c r="AO419" i="2"/>
  <c r="S48" i="5"/>
  <c r="S128" i="5" s="1"/>
  <c r="S279" i="2"/>
  <c r="S323" i="2"/>
  <c r="S57" i="5" s="1"/>
  <c r="H397" i="2"/>
  <c r="H328" i="2"/>
  <c r="H58" i="5" s="1"/>
  <c r="S252" i="2"/>
  <c r="AX207" i="2"/>
  <c r="AX211" i="2"/>
  <c r="E689" i="2"/>
  <c r="AR48" i="5"/>
  <c r="AR128" i="5" s="1"/>
  <c r="AR279" i="2"/>
  <c r="AR323" i="2"/>
  <c r="AR57" i="5" s="1"/>
  <c r="AV420" i="2"/>
  <c r="AV408" i="2"/>
  <c r="AV419" i="2"/>
  <c r="AJ100" i="5"/>
  <c r="AJ101" i="5" s="1"/>
  <c r="K706" i="2"/>
  <c r="K704" i="2"/>
  <c r="AU251" i="2"/>
  <c r="AG315" i="2"/>
  <c r="AG192" i="2"/>
  <c r="E684" i="2"/>
  <c r="W689" i="2"/>
  <c r="AI100" i="5"/>
  <c r="AI101" i="5" s="1"/>
  <c r="AD92" i="5"/>
  <c r="AF92" i="5"/>
  <c r="AF101" i="5" s="1"/>
  <c r="AH92" i="5"/>
  <c r="AG92" i="5"/>
  <c r="AN183" i="2"/>
  <c r="AN185" i="2"/>
  <c r="AN182" i="2"/>
  <c r="Z315" i="2"/>
  <c r="Z192" i="2"/>
  <c r="X315" i="2"/>
  <c r="X192" i="2"/>
  <c r="AC48" i="5"/>
  <c r="AC128" i="5" s="1"/>
  <c r="AC279" i="2"/>
  <c r="AC323" i="2"/>
  <c r="AC57" i="5" s="1"/>
  <c r="AW48" i="5"/>
  <c r="AW128" i="5" s="1"/>
  <c r="AW279" i="2"/>
  <c r="AW323" i="2"/>
  <c r="AW57" i="5" s="1"/>
  <c r="AY142" i="2"/>
  <c r="AI348" i="2"/>
  <c r="AI257" i="2"/>
  <c r="M420" i="2"/>
  <c r="M408" i="2"/>
  <c r="M419" i="2"/>
  <c r="AE251" i="2"/>
  <c r="AF258" i="2"/>
  <c r="AF274" i="2"/>
  <c r="AF259" i="2"/>
  <c r="AF261" i="2" s="1"/>
  <c r="L106" i="5"/>
  <c r="F664" i="2"/>
  <c r="W97" i="5"/>
  <c r="AI28" i="7"/>
  <c r="L97" i="5"/>
  <c r="AZ679" i="2"/>
  <c r="AU687" i="2"/>
  <c r="AO114" i="5"/>
  <c r="AJ86" i="5"/>
  <c r="AJ83" i="5" s="1"/>
  <c r="AJ75" i="5"/>
  <c r="AJ64" i="5"/>
  <c r="AJ114" i="5"/>
  <c r="AQ274" i="2"/>
  <c r="AQ259" i="2"/>
  <c r="AV258" i="2"/>
  <c r="AQ258" i="2"/>
  <c r="O361" i="2"/>
  <c r="O368" i="2" s="1"/>
  <c r="AV683" i="2"/>
  <c r="BA675" i="2"/>
  <c r="F315" i="2"/>
  <c r="F192" i="2"/>
  <c r="L62" i="5"/>
  <c r="L433" i="2"/>
  <c r="L446" i="2"/>
  <c r="L447" i="2" s="1"/>
  <c r="L448" i="2" s="1"/>
  <c r="L449" i="2" s="1"/>
  <c r="U111" i="5"/>
  <c r="P35" i="5"/>
  <c r="P55" i="5"/>
  <c r="P54" i="5"/>
  <c r="P53" i="5"/>
  <c r="AZ203" i="2"/>
  <c r="AZ205" i="2" s="1"/>
  <c r="BD203" i="2"/>
  <c r="BD205" i="2" s="1"/>
  <c r="AY206" i="2"/>
  <c r="AY207" i="2" s="1"/>
  <c r="AY43" i="2"/>
  <c r="AX313" i="2"/>
  <c r="BC130" i="2"/>
  <c r="BC313" i="2" s="1"/>
  <c r="E19" i="2"/>
  <c r="F19" i="2"/>
  <c r="AV689" i="2"/>
  <c r="BA681" i="2"/>
  <c r="AG182" i="2"/>
  <c r="AG185" i="2"/>
  <c r="AG183" i="2"/>
  <c r="R313" i="2"/>
  <c r="R131" i="2"/>
  <c r="W131" i="2"/>
  <c r="AS348" i="2"/>
  <c r="AS257" i="2"/>
  <c r="AU686" i="2"/>
  <c r="AZ678" i="2"/>
  <c r="U103" i="5"/>
  <c r="U104" i="5" s="1"/>
  <c r="U396" i="2"/>
  <c r="U404" i="2"/>
  <c r="U391" i="2"/>
  <c r="U322" i="2"/>
  <c r="U56" i="5" s="1"/>
  <c r="U798" i="2"/>
  <c r="T107" i="5"/>
  <c r="T108" i="5" s="1"/>
  <c r="D103" i="5"/>
  <c r="D104" i="5" s="1"/>
  <c r="D396" i="2"/>
  <c r="D404" i="2"/>
  <c r="D391" i="2"/>
  <c r="D322" i="2"/>
  <c r="D56" i="5" s="1"/>
  <c r="AU259" i="2"/>
  <c r="AU261" i="2" s="1"/>
  <c r="AU274" i="2"/>
  <c r="AU258" i="2"/>
  <c r="AG684" i="2"/>
  <c r="V97" i="5"/>
  <c r="M49" i="7"/>
  <c r="N42" i="7" s="1"/>
  <c r="AA27" i="5"/>
  <c r="AA115" i="2"/>
  <c r="AA114" i="2"/>
  <c r="AA26" i="2"/>
  <c r="AP313" i="2"/>
  <c r="AP131" i="2"/>
  <c r="Z687" i="2"/>
  <c r="D798" i="2"/>
  <c r="D352" i="2"/>
  <c r="D354" i="2" s="1"/>
  <c r="AE48" i="5"/>
  <c r="AE128" i="5" s="1"/>
  <c r="AE279" i="2"/>
  <c r="AE323" i="2"/>
  <c r="AE57" i="5" s="1"/>
  <c r="AW675" i="2"/>
  <c r="AL252" i="2"/>
  <c r="G408" i="2"/>
  <c r="G420" i="2"/>
  <c r="G419" i="2"/>
  <c r="AS114" i="5"/>
  <c r="AN86" i="5"/>
  <c r="AN83" i="5" s="1"/>
  <c r="AN75" i="5"/>
  <c r="AN64" i="5"/>
  <c r="AY631" i="2"/>
  <c r="AY435" i="2"/>
  <c r="AY804" i="2" s="1"/>
  <c r="AG107" i="5"/>
  <c r="C860" i="2"/>
  <c r="C482" i="2" s="1"/>
  <c r="A860" i="2"/>
  <c r="AH315" i="2"/>
  <c r="AH192" i="2"/>
  <c r="AW233" i="2"/>
  <c r="AL683" i="2"/>
  <c r="AF686" i="2"/>
  <c r="AX631" i="2"/>
  <c r="AY812" i="2" s="1"/>
  <c r="AE27" i="5"/>
  <c r="AE26" i="2"/>
  <c r="AE28" i="2" s="1"/>
  <c r="AE115" i="2"/>
  <c r="M28" i="2"/>
  <c r="M27" i="2"/>
  <c r="R28" i="2"/>
  <c r="AI315" i="2"/>
  <c r="AI192" i="2"/>
  <c r="AT248" i="2"/>
  <c r="AU249" i="2"/>
  <c r="U233" i="2"/>
  <c r="AO397" i="2"/>
  <c r="AO328" i="2"/>
  <c r="AO58" i="5" s="1"/>
  <c r="S408" i="2"/>
  <c r="S420" i="2"/>
  <c r="S419" i="2"/>
  <c r="AB114" i="5"/>
  <c r="W75" i="5"/>
  <c r="W64" i="5"/>
  <c r="BG9" i="2"/>
  <c r="BG82" i="2"/>
  <c r="BG62" i="2"/>
  <c r="AN21" i="2"/>
  <c r="AS22" i="2"/>
  <c r="AN22" i="2"/>
  <c r="AJ185" i="2"/>
  <c r="AJ183" i="2"/>
  <c r="AR408" i="2"/>
  <c r="AR420" i="2"/>
  <c r="AR419" i="2"/>
  <c r="AK100" i="5"/>
  <c r="AK101" i="5" s="1"/>
  <c r="H2" i="5"/>
  <c r="H5" i="7"/>
  <c r="I5" i="2"/>
  <c r="L313" i="2"/>
  <c r="L131" i="2"/>
  <c r="L315" i="2"/>
  <c r="L192" i="2"/>
  <c r="AB111" i="5"/>
  <c r="W35" i="5"/>
  <c r="W55" i="5"/>
  <c r="W53" i="5"/>
  <c r="W54" i="5"/>
  <c r="W69" i="5"/>
  <c r="W664" i="2"/>
  <c r="X250" i="2"/>
  <c r="AA277" i="2"/>
  <c r="AA126" i="5"/>
  <c r="AA38" i="5"/>
  <c r="AA43" i="5" s="1"/>
  <c r="AC420" i="2"/>
  <c r="AC408" i="2"/>
  <c r="AC419" i="2"/>
  <c r="AJ800" i="2"/>
  <c r="AJ667" i="2"/>
  <c r="H695" i="2"/>
  <c r="O28" i="2"/>
  <c r="J27" i="2"/>
  <c r="L27" i="2"/>
  <c r="AO251" i="2"/>
  <c r="P103" i="5"/>
  <c r="P104" i="5" s="1"/>
  <c r="P396" i="2"/>
  <c r="P404" i="2"/>
  <c r="P391" i="2"/>
  <c r="P322" i="2"/>
  <c r="P56" i="5" s="1"/>
  <c r="E688" i="2"/>
  <c r="AI30" i="5"/>
  <c r="AI681" i="2"/>
  <c r="AI689" i="2" s="1"/>
  <c r="AI678" i="2"/>
  <c r="AI686" i="2" s="1"/>
  <c r="AI680" i="2"/>
  <c r="AI688" i="2" s="1"/>
  <c r="AI675" i="2"/>
  <c r="AI683" i="2" s="1"/>
  <c r="AI677" i="2"/>
  <c r="AI685" i="2" s="1"/>
  <c r="AI679" i="2"/>
  <c r="AI687" i="2" s="1"/>
  <c r="AI676" i="2"/>
  <c r="AI684" i="2" s="1"/>
  <c r="AI385" i="2"/>
  <c r="AI390" i="2" s="1"/>
  <c r="AI326" i="2"/>
  <c r="AI320" i="2"/>
  <c r="AI805" i="2" s="1"/>
  <c r="AK679" i="2"/>
  <c r="AK687" i="2" s="1"/>
  <c r="AM678" i="2"/>
  <c r="AK681" i="2"/>
  <c r="AK678" i="2"/>
  <c r="AI327" i="2"/>
  <c r="AI799" i="2"/>
  <c r="AI321" i="2"/>
  <c r="AK676" i="2"/>
  <c r="AM680" i="2"/>
  <c r="AK680" i="2"/>
  <c r="AK688" i="2" s="1"/>
  <c r="AM679" i="2"/>
  <c r="AK675" i="2"/>
  <c r="AM681" i="2"/>
  <c r="AK677" i="2"/>
  <c r="M397" i="2"/>
  <c r="M328" i="2"/>
  <c r="M58" i="5" s="1"/>
  <c r="AT25" i="5"/>
  <c r="AT12" i="2"/>
  <c r="AE316" i="2"/>
  <c r="AE219" i="2"/>
  <c r="AE684" i="2"/>
  <c r="X29" i="7"/>
  <c r="AF798" i="2"/>
  <c r="AF352" i="2"/>
  <c r="AF354" i="2" s="1"/>
  <c r="Q73" i="5"/>
  <c r="Q131" i="5" s="1"/>
  <c r="AP69" i="5"/>
  <c r="AT811" i="2"/>
  <c r="P798" i="2"/>
  <c r="P352" i="2"/>
  <c r="P354" i="2" s="1"/>
  <c r="E27" i="5"/>
  <c r="E26" i="2"/>
  <c r="F28" i="2" s="1"/>
  <c r="F115" i="2"/>
  <c r="F248" i="2"/>
  <c r="F252" i="2" s="1"/>
  <c r="Q48" i="5"/>
  <c r="Q128" i="5" s="1"/>
  <c r="Q279" i="2"/>
  <c r="Q323" i="2"/>
  <c r="Q57" i="5" s="1"/>
  <c r="AQ48" i="5"/>
  <c r="AQ128" i="5" s="1"/>
  <c r="AQ279" i="2"/>
  <c r="AQ323" i="2"/>
  <c r="AQ57" i="5" s="1"/>
  <c r="AT19" i="2"/>
  <c r="AH182" i="2"/>
  <c r="AH185" i="2"/>
  <c r="AH183" i="2"/>
  <c r="AM21" i="2"/>
  <c r="AM22" i="2"/>
  <c r="AR183" i="2"/>
  <c r="AR185" i="2"/>
  <c r="AR182" i="2"/>
  <c r="AC126" i="5"/>
  <c r="AC38" i="5"/>
  <c r="AC43" i="5" s="1"/>
  <c r="F126" i="5"/>
  <c r="F38" i="5"/>
  <c r="F43" i="5" s="1"/>
  <c r="AU681" i="2"/>
  <c r="X27" i="5"/>
  <c r="X115" i="2"/>
  <c r="X114" i="2"/>
  <c r="X26" i="2"/>
  <c r="AJ316" i="2"/>
  <c r="AJ219" i="2"/>
  <c r="AU798" i="2"/>
  <c r="AU352" i="2"/>
  <c r="AU354" i="2" s="1"/>
  <c r="AG689" i="2"/>
  <c r="AG101" i="5"/>
  <c r="AP246" i="2"/>
  <c r="AP251" i="2"/>
  <c r="Z685" i="2"/>
  <c r="AC683" i="2"/>
  <c r="AE408" i="2"/>
  <c r="AE420" i="2"/>
  <c r="AE419" i="2"/>
  <c r="AS100" i="5"/>
  <c r="AS101" i="5" s="1"/>
  <c r="AJ249" i="2"/>
  <c r="AJ252" i="2" s="1"/>
  <c r="AY19" i="2"/>
  <c r="AA316" i="2"/>
  <c r="AF219" i="2"/>
  <c r="AM248" i="2"/>
  <c r="G397" i="2"/>
  <c r="G328" i="2"/>
  <c r="G58" i="5" s="1"/>
  <c r="AW677" i="2"/>
  <c r="AV27" i="5"/>
  <c r="AV114" i="2"/>
  <c r="AV115" i="2"/>
  <c r="BA113" i="2"/>
  <c r="AV26" i="2"/>
  <c r="AV164" i="2"/>
  <c r="AW114" i="2"/>
  <c r="AH250" i="2"/>
  <c r="AW249" i="2"/>
  <c r="AP249" i="2"/>
  <c r="AL688" i="2"/>
  <c r="E126" i="5"/>
  <c r="E38" i="5"/>
  <c r="E43" i="5" s="1"/>
  <c r="U114" i="5"/>
  <c r="P86" i="5"/>
  <c r="P83" i="5" s="1"/>
  <c r="P75" i="5"/>
  <c r="P64" i="5"/>
  <c r="AX804" i="2"/>
  <c r="AV107" i="5"/>
  <c r="AL274" i="2"/>
  <c r="AL258" i="2"/>
  <c r="AL259" i="2"/>
  <c r="AL261" i="2" s="1"/>
  <c r="S397" i="2"/>
  <c r="S328" i="2"/>
  <c r="S58" i="5" s="1"/>
  <c r="L259" i="2"/>
  <c r="L274" i="2"/>
  <c r="L258" i="2"/>
  <c r="AL97" i="5"/>
  <c r="AI316" i="2"/>
  <c r="AI219" i="2"/>
  <c r="AP126" i="5"/>
  <c r="AP38" i="5"/>
  <c r="AP43" i="5" s="1"/>
  <c r="AR397" i="2"/>
  <c r="AR328" i="2"/>
  <c r="AR58" i="5" s="1"/>
  <c r="X126" i="5"/>
  <c r="X38" i="5"/>
  <c r="X43" i="5" s="1"/>
  <c r="G3" i="7"/>
  <c r="G4" i="7"/>
  <c r="B4" i="7"/>
  <c r="B3" i="2"/>
  <c r="AL185" i="2"/>
  <c r="AL183" i="2"/>
  <c r="AL182" i="2"/>
  <c r="AG316" i="2"/>
  <c r="AG219" i="2"/>
  <c r="L248" i="2"/>
  <c r="L252" i="2" s="1"/>
  <c r="L250" i="2"/>
  <c r="R315" i="2"/>
  <c r="R192" i="2"/>
  <c r="AP687" i="2"/>
  <c r="AW678" i="2"/>
  <c r="AJ142" i="2"/>
  <c r="AJ144" i="2"/>
  <c r="AC397" i="2"/>
  <c r="AC328" i="2"/>
  <c r="AC58" i="5" s="1"/>
  <c r="I695" i="2"/>
  <c r="AI183" i="2"/>
  <c r="AI182" i="2"/>
  <c r="AO183" i="2"/>
  <c r="AO185" i="2"/>
  <c r="AO316" i="2"/>
  <c r="AO219" i="2"/>
  <c r="P683" i="2"/>
  <c r="M48" i="5"/>
  <c r="M128" i="5" s="1"/>
  <c r="M279" i="2"/>
  <c r="M323" i="2"/>
  <c r="M57" i="5" s="1"/>
  <c r="V100" i="5"/>
  <c r="V101" i="5" s="1"/>
  <c r="AT183" i="2"/>
  <c r="AQ683" i="2"/>
  <c r="N97" i="5"/>
  <c r="Y28" i="2"/>
  <c r="Y27" i="2"/>
  <c r="AD28" i="2"/>
  <c r="AP62" i="5"/>
  <c r="AS86" i="5" s="1"/>
  <c r="AS83" i="5" s="1"/>
  <c r="AP433" i="2"/>
  <c r="AP446" i="2"/>
  <c r="AP447" i="2" s="1"/>
  <c r="AP448" i="2" s="1"/>
  <c r="AP449" i="2" s="1"/>
  <c r="AK29" i="7"/>
  <c r="AG252" i="2"/>
  <c r="Q97" i="5"/>
  <c r="AP397" i="2"/>
  <c r="AP328" i="2"/>
  <c r="AP58" i="5" s="1"/>
  <c r="AC28" i="2"/>
  <c r="AC27" i="2"/>
  <c r="AD27" i="2"/>
  <c r="C274" i="2"/>
  <c r="C259" i="2"/>
  <c r="AL315" i="2"/>
  <c r="AL192" i="2"/>
  <c r="AM315" i="2"/>
  <c r="AM192" i="2"/>
  <c r="Q420" i="2"/>
  <c r="Q408" i="2"/>
  <c r="Q419" i="2"/>
  <c r="AQ408" i="2"/>
  <c r="AQ420" i="2"/>
  <c r="AQ419" i="2"/>
  <c r="U811" i="2"/>
  <c r="AR313" i="2"/>
  <c r="AR131" i="2"/>
  <c r="AO20" i="2"/>
  <c r="AO113" i="2"/>
  <c r="AU35" i="5"/>
  <c r="AU55" i="5"/>
  <c r="AU54" i="5"/>
  <c r="AC114" i="5"/>
  <c r="X75" i="5"/>
  <c r="X64" i="5"/>
  <c r="X114" i="5"/>
  <c r="X18" i="2"/>
  <c r="X19" i="2"/>
  <c r="AC19" i="2"/>
  <c r="AM48" i="5"/>
  <c r="AM128" i="5" s="1"/>
  <c r="AM279" i="2"/>
  <c r="AM323" i="2"/>
  <c r="AM57" i="5" s="1"/>
  <c r="V126" i="5"/>
  <c r="V38" i="5"/>
  <c r="V43" i="5" s="1"/>
  <c r="AG687" i="2"/>
  <c r="AH101" i="5"/>
  <c r="AD114" i="5"/>
  <c r="Y75" i="5"/>
  <c r="Y64" i="5"/>
  <c r="AA86" i="5"/>
  <c r="AA83" i="5" s="1"/>
  <c r="AR27" i="5"/>
  <c r="AR114" i="2"/>
  <c r="AR115" i="2"/>
  <c r="AR26" i="2"/>
  <c r="AW115" i="2"/>
  <c r="AR164" i="2"/>
  <c r="AV316" i="2"/>
  <c r="AV219" i="2"/>
  <c r="BA218" i="2"/>
  <c r="BA316" i="2" s="1"/>
  <c r="Z683" i="2"/>
  <c r="AE397" i="2"/>
  <c r="AE328" i="2"/>
  <c r="AE58" i="5" s="1"/>
  <c r="AD361" i="2"/>
  <c r="AD368" i="2" s="1"/>
  <c r="C853" i="2"/>
  <c r="C481" i="2" s="1"/>
  <c r="A853" i="2"/>
  <c r="AV22" i="2"/>
  <c r="AV21" i="2"/>
  <c r="AW21" i="2"/>
  <c r="AN249" i="2"/>
  <c r="AN252" i="2" s="1"/>
  <c r="AL686" i="2"/>
  <c r="H126" i="5"/>
  <c r="H38" i="5"/>
  <c r="H43" i="5" s="1"/>
  <c r="V19" i="2"/>
  <c r="V18" i="2"/>
  <c r="W18" i="2"/>
  <c r="AL798" i="2"/>
  <c r="AL352" i="2"/>
  <c r="AL354" i="2" s="1"/>
  <c r="E687" i="2"/>
  <c r="S104" i="5"/>
  <c r="L798" i="2"/>
  <c r="L352" i="2"/>
  <c r="L354" i="2" s="1"/>
  <c r="AP107" i="5"/>
  <c r="AC313" i="2"/>
  <c r="AC131" i="2"/>
  <c r="AU111" i="5"/>
  <c r="AR104" i="5"/>
  <c r="AU107" i="5"/>
  <c r="B890" i="2"/>
  <c r="C876" i="2"/>
  <c r="C877" i="2"/>
  <c r="C878" i="2"/>
  <c r="A482" i="2"/>
  <c r="A485" i="2"/>
  <c r="A483" i="2"/>
  <c r="A481" i="2"/>
  <c r="A484" i="2"/>
  <c r="A3" i="2"/>
  <c r="A3" i="7" s="1"/>
  <c r="E876" i="2"/>
  <c r="E874" i="2" s="1"/>
  <c r="E877" i="2"/>
  <c r="E878" i="2"/>
  <c r="D876" i="2"/>
  <c r="D874" i="2" s="1"/>
  <c r="D877" i="2"/>
  <c r="D878" i="2"/>
  <c r="AW315" i="2"/>
  <c r="BB191" i="2"/>
  <c r="BB315" i="2" s="1"/>
  <c r="AW192" i="2"/>
  <c r="R250" i="2"/>
  <c r="R252" i="2" s="1"/>
  <c r="AK126" i="5"/>
  <c r="AK38" i="5"/>
  <c r="AK43" i="5" s="1"/>
  <c r="AF113" i="2"/>
  <c r="AF20" i="2"/>
  <c r="AK111" i="2"/>
  <c r="AG110" i="2"/>
  <c r="D315" i="2"/>
  <c r="E192" i="2"/>
  <c r="AM685" i="2"/>
  <c r="AC104" i="5"/>
  <c r="AH97" i="5"/>
  <c r="AP315" i="2"/>
  <c r="AP192" i="2"/>
  <c r="P686" i="2"/>
  <c r="R48" i="5"/>
  <c r="R128" i="5" s="1"/>
  <c r="R279" i="2"/>
  <c r="R323" i="2"/>
  <c r="R57" i="5" s="1"/>
  <c r="AF48" i="5"/>
  <c r="AF128" i="5" s="1"/>
  <c r="AF279" i="2"/>
  <c r="AF323" i="2"/>
  <c r="AF57" i="5" s="1"/>
  <c r="V48" i="5"/>
  <c r="V128" i="5" s="1"/>
  <c r="V323" i="2"/>
  <c r="V57" i="5" s="1"/>
  <c r="V279" i="2"/>
  <c r="K100" i="5"/>
  <c r="K101" i="5" s="1"/>
  <c r="AV315" i="2"/>
  <c r="BA191" i="2"/>
  <c r="BA315" i="2" s="1"/>
  <c r="AV192" i="2"/>
  <c r="Y114" i="2"/>
  <c r="C107" i="5"/>
  <c r="C108" i="5" s="1"/>
  <c r="AW100" i="5"/>
  <c r="AW101" i="5" s="1"/>
  <c r="N106" i="5"/>
  <c r="AV577" i="2"/>
  <c r="AK21" i="2"/>
  <c r="AI21" i="2"/>
  <c r="X313" i="2"/>
  <c r="X131" i="2"/>
  <c r="J274" i="2"/>
  <c r="J259" i="2"/>
  <c r="O261" i="2" s="1"/>
  <c r="O258" i="2"/>
  <c r="AB103" i="5"/>
  <c r="AB104" i="5" s="1"/>
  <c r="AB396" i="2"/>
  <c r="AB404" i="2"/>
  <c r="AB391" i="2"/>
  <c r="AB322" i="2"/>
  <c r="AB56" i="5" s="1"/>
  <c r="Q397" i="2"/>
  <c r="Q328" i="2"/>
  <c r="Q58" i="5" s="1"/>
  <c r="AQ397" i="2"/>
  <c r="AQ328" i="2"/>
  <c r="AQ58" i="5" s="1"/>
  <c r="O695" i="2"/>
  <c r="AU22" i="2"/>
  <c r="AU21" i="2"/>
  <c r="AW798" i="2"/>
  <c r="AW352" i="2"/>
  <c r="AW354" i="2" s="1"/>
  <c r="K114" i="5"/>
  <c r="F86" i="5"/>
  <c r="F83" i="5" s="1"/>
  <c r="F75" i="5"/>
  <c r="F64" i="5"/>
  <c r="F114" i="5"/>
  <c r="AI107" i="5"/>
  <c r="AN316" i="2"/>
  <c r="AN219" i="2"/>
  <c r="AM420" i="2"/>
  <c r="AM419" i="2"/>
  <c r="AM408" i="2"/>
  <c r="AN685" i="2"/>
  <c r="AL111" i="5"/>
  <c r="AG35" i="5"/>
  <c r="AG54" i="5"/>
  <c r="AG53" i="5"/>
  <c r="AG55" i="5"/>
  <c r="M97" i="5"/>
  <c r="AX314" i="2"/>
  <c r="BC177" i="2"/>
  <c r="BC314" i="2" s="1"/>
  <c r="Z688" i="2"/>
  <c r="J103" i="5"/>
  <c r="J104" i="5" s="1"/>
  <c r="J108" i="5" s="1"/>
  <c r="J396" i="2"/>
  <c r="J404" i="2"/>
  <c r="J391" i="2"/>
  <c r="J322" i="2"/>
  <c r="J56" i="5" s="1"/>
  <c r="X69" i="5"/>
  <c r="X664" i="2"/>
  <c r="S107" i="5"/>
  <c r="S108" i="5" s="1"/>
  <c r="BA58" i="2"/>
  <c r="BA59" i="2"/>
  <c r="BA81" i="2"/>
  <c r="BA8" i="2"/>
  <c r="AL207" i="2"/>
  <c r="AL209" i="2"/>
  <c r="AF684" i="2"/>
  <c r="Q7" i="7"/>
  <c r="Q13" i="7" s="1"/>
  <c r="R7" i="7" s="1"/>
  <c r="R13" i="7" s="1"/>
  <c r="S7" i="7" s="1"/>
  <c r="S13" i="7" s="1"/>
  <c r="T7" i="7" s="1"/>
  <c r="T13" i="7" s="1"/>
  <c r="U7" i="7"/>
  <c r="U13" i="7" s="1"/>
  <c r="AA249" i="2"/>
  <c r="AA252" i="2" s="1"/>
  <c r="AQ111" i="5"/>
  <c r="AL35" i="5"/>
  <c r="AL55" i="5"/>
  <c r="AL54" i="5"/>
  <c r="AL53" i="5"/>
  <c r="AQ687" i="2"/>
  <c r="P111" i="5"/>
  <c r="K35" i="5"/>
  <c r="K55" i="5"/>
  <c r="K54" i="5"/>
  <c r="K53" i="5"/>
  <c r="Z131" i="5"/>
  <c r="P2" i="5"/>
  <c r="P5" i="7"/>
  <c r="U5" i="2"/>
  <c r="Q5" i="2"/>
  <c r="AQ192" i="2"/>
  <c r="Y18" i="2"/>
  <c r="Y19" i="2"/>
  <c r="AD19" i="2"/>
  <c r="AB315" i="2"/>
  <c r="AB192" i="2"/>
  <c r="AC246" i="2"/>
  <c r="AC250" i="2"/>
  <c r="AJ356" i="2"/>
  <c r="AJ358" i="2"/>
  <c r="AG313" i="2"/>
  <c r="AG131" i="2"/>
  <c r="AB313" i="2"/>
  <c r="AB131" i="2"/>
  <c r="P28" i="2"/>
  <c r="U28" i="2"/>
  <c r="AV313" i="2"/>
  <c r="BA130" i="2"/>
  <c r="BA313" i="2" s="1"/>
  <c r="AV131" i="2"/>
  <c r="AW250" i="2"/>
  <c r="AE685" i="2"/>
  <c r="AO97" i="5"/>
  <c r="BA7" i="2"/>
  <c r="BA63" i="2"/>
  <c r="BA80" i="2"/>
  <c r="BA55" i="2"/>
  <c r="BA56" i="2"/>
  <c r="AQ183" i="2"/>
  <c r="AF315" i="2"/>
  <c r="AF192" i="2"/>
  <c r="AL316" i="2"/>
  <c r="AL219" i="2"/>
  <c r="V361" i="2"/>
  <c r="V368" i="2" s="1"/>
  <c r="E686" i="2"/>
  <c r="AF685" i="2"/>
  <c r="G73" i="5"/>
  <c r="G131" i="5" s="1"/>
  <c r="Q192" i="2"/>
  <c r="AP250" i="2"/>
  <c r="AP252" i="2" s="1"/>
  <c r="P684" i="2"/>
  <c r="R408" i="2"/>
  <c r="R420" i="2"/>
  <c r="R419" i="2"/>
  <c r="AF408" i="2"/>
  <c r="AF420" i="2"/>
  <c r="AF419" i="2"/>
  <c r="V420" i="2"/>
  <c r="V419" i="2"/>
  <c r="V408" i="2"/>
  <c r="T258" i="2"/>
  <c r="T259" i="2"/>
  <c r="T261" i="2" s="1"/>
  <c r="T274" i="2"/>
  <c r="BB767" i="2"/>
  <c r="BB777" i="2" s="1"/>
  <c r="BC454" i="2"/>
  <c r="BC767" i="2" s="1"/>
  <c r="BD767" i="2" s="1"/>
  <c r="BD454" i="2" s="1"/>
  <c r="BE454" i="2" s="1"/>
  <c r="AV250" i="2"/>
  <c r="AT316" i="2"/>
  <c r="AT219" i="2"/>
  <c r="AN28" i="2"/>
  <c r="AN27" i="2"/>
  <c r="AT803" i="2"/>
  <c r="AO29" i="7"/>
  <c r="AR126" i="5"/>
  <c r="AR38" i="5"/>
  <c r="AR43" i="5" s="1"/>
  <c r="O97" i="5"/>
  <c r="W29" i="7"/>
  <c r="J62" i="5"/>
  <c r="J433" i="2"/>
  <c r="J446" i="2"/>
  <c r="J447" i="2" s="1"/>
  <c r="J448" i="2" s="1"/>
  <c r="J449" i="2" s="1"/>
  <c r="E420" i="2"/>
  <c r="E408" i="2"/>
  <c r="E419" i="2"/>
  <c r="E258" i="2"/>
  <c r="E274" i="2"/>
  <c r="E259" i="2"/>
  <c r="F258" i="2"/>
  <c r="Z798" i="2"/>
  <c r="Z352" i="2"/>
  <c r="Z354" i="2" s="1"/>
  <c r="J352" i="2"/>
  <c r="J354" i="2" s="1"/>
  <c r="J798" i="2"/>
  <c r="AB683" i="2"/>
  <c r="Q104" i="5"/>
  <c r="AQ104" i="5"/>
  <c r="AJ397" i="2"/>
  <c r="AJ328" i="2"/>
  <c r="AJ58" i="5" s="1"/>
  <c r="I103" i="5"/>
  <c r="I396" i="2"/>
  <c r="I404" i="2"/>
  <c r="I391" i="2"/>
  <c r="I322" i="2"/>
  <c r="I56" i="5" s="1"/>
  <c r="I798" i="2"/>
  <c r="AU100" i="5"/>
  <c r="AU101" i="5" s="1"/>
  <c r="AE107" i="5"/>
  <c r="AE108" i="5" s="1"/>
  <c r="AU27" i="5"/>
  <c r="AU114" i="2"/>
  <c r="AU115" i="2"/>
  <c r="AZ113" i="2"/>
  <c r="AU26" i="2"/>
  <c r="AU164" i="2"/>
  <c r="AT113" i="2"/>
  <c r="AT111" i="2"/>
  <c r="AT20" i="2"/>
  <c r="AR315" i="2"/>
  <c r="AR192" i="2"/>
  <c r="S111" i="5"/>
  <c r="N35" i="5"/>
  <c r="N54" i="5"/>
  <c r="N53" i="5"/>
  <c r="N55" i="5"/>
  <c r="AS321" i="2"/>
  <c r="AW94" i="5"/>
  <c r="AW44" i="5"/>
  <c r="AW258" i="2"/>
  <c r="AW274" i="2"/>
  <c r="AW259" i="2"/>
  <c r="AW261" i="2" s="1"/>
  <c r="AB107" i="5"/>
  <c r="AB108" i="5" s="1"/>
  <c r="AK131" i="2"/>
  <c r="AN251" i="2"/>
  <c r="AM328" i="2"/>
  <c r="AM58" i="5" s="1"/>
  <c r="AM397" i="2"/>
  <c r="AW680" i="2"/>
  <c r="AE798" i="2"/>
  <c r="AE352" i="2"/>
  <c r="AE354" i="2" s="1"/>
  <c r="AC107" i="5"/>
  <c r="AC108" i="5" s="1"/>
  <c r="AM185" i="2"/>
  <c r="AM183" i="2"/>
  <c r="AM182" i="2"/>
  <c r="AA313" i="2"/>
  <c r="AA131" i="2"/>
  <c r="Z686" i="2"/>
  <c r="O111" i="5"/>
  <c r="J35" i="5"/>
  <c r="J55" i="5"/>
  <c r="J54" i="5"/>
  <c r="J53" i="5"/>
  <c r="AT126" i="5"/>
  <c r="AT38" i="5"/>
  <c r="AT43" i="5" s="1"/>
  <c r="Q274" i="2"/>
  <c r="V258" i="2"/>
  <c r="Q259" i="2"/>
  <c r="Q258" i="2"/>
  <c r="K69" i="5"/>
  <c r="K664" i="2"/>
  <c r="K800" i="2" s="1"/>
  <c r="T664" i="2"/>
  <c r="BC93" i="2"/>
  <c r="BB105" i="2"/>
  <c r="BB136" i="2"/>
  <c r="BB141" i="2" s="1"/>
  <c r="BB15" i="2"/>
  <c r="BB95" i="2"/>
  <c r="BB57" i="2"/>
  <c r="BD93" i="2"/>
  <c r="AE12" i="2"/>
  <c r="V315" i="2"/>
  <c r="V192" i="2"/>
  <c r="AK420" i="2"/>
  <c r="AK408" i="2"/>
  <c r="AK419" i="2"/>
  <c r="AU432" i="2"/>
  <c r="AU616" i="2"/>
  <c r="W28" i="2"/>
  <c r="AT314" i="2"/>
  <c r="AT178" i="2"/>
  <c r="AO274" i="2"/>
  <c r="AT258" i="2"/>
  <c r="AO259" i="2"/>
  <c r="AO258" i="2"/>
  <c r="AJ107" i="5"/>
  <c r="AJ108" i="5" s="1"/>
  <c r="F97" i="5"/>
  <c r="V27" i="5"/>
  <c r="V115" i="2"/>
  <c r="V114" i="2"/>
  <c r="V26" i="2"/>
  <c r="T27" i="2"/>
  <c r="T28" i="2"/>
  <c r="AM126" i="5"/>
  <c r="AM38" i="5"/>
  <c r="AM43" i="5" s="1"/>
  <c r="AM258" i="2"/>
  <c r="AM274" i="2"/>
  <c r="AM259" i="2"/>
  <c r="AR258" i="2"/>
  <c r="M106" i="5"/>
  <c r="L2" i="5"/>
  <c r="L5" i="7"/>
  <c r="M5" i="2"/>
  <c r="AE19" i="2"/>
  <c r="Y420" i="2"/>
  <c r="Y408" i="2"/>
  <c r="Y419" i="2"/>
  <c r="V62" i="5"/>
  <c r="W86" i="5" s="1"/>
  <c r="W83" i="5" s="1"/>
  <c r="V433" i="2"/>
  <c r="V446" i="2"/>
  <c r="V447" i="2" s="1"/>
  <c r="V448" i="2" s="1"/>
  <c r="V449" i="2" s="1"/>
  <c r="AV252" i="2"/>
  <c r="AS233" i="2"/>
  <c r="AQ684" i="2"/>
  <c r="W103" i="5"/>
  <c r="W104" i="5" s="1"/>
  <c r="W396" i="2"/>
  <c r="W404" i="2"/>
  <c r="W391" i="2"/>
  <c r="W322" i="2"/>
  <c r="W56" i="5" s="1"/>
  <c r="R101" i="5"/>
  <c r="BA107" i="2"/>
  <c r="C48" i="5"/>
  <c r="C128" i="5" s="1"/>
  <c r="C279" i="2"/>
  <c r="C283" i="2" s="1"/>
  <c r="C323" i="2"/>
  <c r="C57" i="5" s="1"/>
  <c r="AH106" i="5"/>
  <c r="D313" i="2"/>
  <c r="D131" i="2"/>
  <c r="AJ315" i="2"/>
  <c r="AJ192" i="2"/>
  <c r="AO249" i="2"/>
  <c r="AO252" i="2" s="1"/>
  <c r="P689" i="2"/>
  <c r="R397" i="2"/>
  <c r="R328" i="2"/>
  <c r="R58" i="5" s="1"/>
  <c r="AF397" i="2"/>
  <c r="AF328" i="2"/>
  <c r="AF58" i="5" s="1"/>
  <c r="V397" i="2"/>
  <c r="V328" i="2"/>
  <c r="V58" i="5" s="1"/>
  <c r="T798" i="2"/>
  <c r="T352" i="2"/>
  <c r="T354" i="2" s="1"/>
  <c r="AT251" i="2"/>
  <c r="D483" i="2"/>
  <c r="D485" i="2" s="1"/>
  <c r="R107" i="5"/>
  <c r="M252" i="2"/>
  <c r="AN29" i="7"/>
  <c r="AG29" i="7"/>
  <c r="P811" i="2"/>
  <c r="V29" i="7"/>
  <c r="AD664" i="2"/>
  <c r="AQ316" i="2"/>
  <c r="AQ219" i="2"/>
  <c r="E111" i="5"/>
  <c r="D35" i="5"/>
  <c r="D54" i="5"/>
  <c r="D53" i="5"/>
  <c r="D55" i="5"/>
  <c r="X397" i="2"/>
  <c r="X328" i="2"/>
  <c r="X58" i="5" s="1"/>
  <c r="AA104" i="5"/>
  <c r="O126" i="5"/>
  <c r="O38" i="5"/>
  <c r="O43" i="5" s="1"/>
  <c r="AJ48" i="5"/>
  <c r="AJ128" i="5" s="1"/>
  <c r="AJ323" i="2"/>
  <c r="AJ57" i="5" s="1"/>
  <c r="AJ279" i="2"/>
  <c r="N111" i="5"/>
  <c r="I35" i="5"/>
  <c r="I53" i="5"/>
  <c r="I54" i="5"/>
  <c r="I55" i="5"/>
  <c r="G274" i="2"/>
  <c r="G259" i="2"/>
  <c r="N103" i="5"/>
  <c r="N104" i="5" s="1"/>
  <c r="N391" i="2"/>
  <c r="N396" i="2"/>
  <c r="N404" i="2"/>
  <c r="N322" i="2"/>
  <c r="N56" i="5" s="1"/>
  <c r="AS55" i="5"/>
  <c r="P114" i="5"/>
  <c r="K86" i="5"/>
  <c r="K83" i="5" s="1"/>
  <c r="K75" i="5"/>
  <c r="K64" i="5"/>
  <c r="AD313" i="2"/>
  <c r="AD131" i="2"/>
  <c r="AS111" i="5"/>
  <c r="AN35" i="5"/>
  <c r="AN54" i="5"/>
  <c r="AN55" i="5"/>
  <c r="AE683" i="2"/>
  <c r="AE274" i="2"/>
  <c r="AE259" i="2"/>
  <c r="AJ258" i="2"/>
  <c r="AE258" i="2"/>
  <c r="AN114" i="5"/>
  <c r="AI86" i="5"/>
  <c r="AI83" i="5" s="1"/>
  <c r="AI75" i="5"/>
  <c r="AI64" i="5"/>
  <c r="AM86" i="5"/>
  <c r="AM83" i="5" s="1"/>
  <c r="AK86" i="5"/>
  <c r="AK83" i="5" s="1"/>
  <c r="AL86" i="5"/>
  <c r="AL83" i="5" s="1"/>
  <c r="AP27" i="5"/>
  <c r="AP114" i="2"/>
  <c r="AP115" i="2"/>
  <c r="AP26" i="2"/>
  <c r="AP164" i="2"/>
  <c r="AE111" i="5"/>
  <c r="Z35" i="5"/>
  <c r="Z54" i="5"/>
  <c r="Z53" i="5"/>
  <c r="Z55" i="5"/>
  <c r="G126" i="5"/>
  <c r="G38" i="5"/>
  <c r="G43" i="5" s="1"/>
  <c r="AV680" i="2"/>
  <c r="Q798" i="2"/>
  <c r="Q352" i="2"/>
  <c r="Q354" i="2" s="1"/>
  <c r="S27" i="2"/>
  <c r="S28" i="2"/>
  <c r="AR246" i="2"/>
  <c r="AR251" i="2"/>
  <c r="AR248" i="2"/>
  <c r="AR252" i="2" s="1"/>
  <c r="AH314" i="2"/>
  <c r="AH178" i="2"/>
  <c r="AR375" i="2"/>
  <c r="AR378" i="2" s="1"/>
  <c r="AR361" i="2"/>
  <c r="AR368" i="2" s="1"/>
  <c r="AK397" i="2"/>
  <c r="AK328" i="2"/>
  <c r="AK58" i="5" s="1"/>
  <c r="T315" i="2"/>
  <c r="T192" i="2"/>
  <c r="AQ313" i="2"/>
  <c r="AQ131" i="2"/>
  <c r="I233" i="2"/>
  <c r="AA48" i="5"/>
  <c r="AA128" i="5" s="1"/>
  <c r="AA279" i="2"/>
  <c r="AA323" i="2"/>
  <c r="AA57" i="5" s="1"/>
  <c r="AO798" i="2"/>
  <c r="AO352" i="2"/>
  <c r="AO354" i="2" s="1"/>
  <c r="N315" i="2"/>
  <c r="N192" i="2"/>
  <c r="S192" i="2"/>
  <c r="P315" i="2"/>
  <c r="P192" i="2"/>
  <c r="Q313" i="2"/>
  <c r="Q131" i="2"/>
  <c r="AD48" i="5"/>
  <c r="AD128" i="5" s="1"/>
  <c r="AD279" i="2"/>
  <c r="AD323" i="2"/>
  <c r="AD57" i="5" s="1"/>
  <c r="AM798" i="2"/>
  <c r="AM352" i="2"/>
  <c r="AM354" i="2" s="1"/>
  <c r="L397" i="2"/>
  <c r="L328" i="2"/>
  <c r="L58" i="5" s="1"/>
  <c r="AM178" i="2"/>
  <c r="AA361" i="2"/>
  <c r="AA368" i="2" s="1"/>
  <c r="AE126" i="5"/>
  <c r="AE38" i="5"/>
  <c r="AE43" i="5" s="1"/>
  <c r="Y397" i="2"/>
  <c r="Y328" i="2"/>
  <c r="Y58" i="5" s="1"/>
  <c r="W106" i="5"/>
  <c r="AZ142" i="2"/>
  <c r="AB248" i="2"/>
  <c r="AB252" i="2" s="1"/>
  <c r="O48" i="5"/>
  <c r="O128" i="5" s="1"/>
  <c r="O279" i="2"/>
  <c r="O323" i="2"/>
  <c r="O57" i="5" s="1"/>
  <c r="AM131" i="5"/>
  <c r="E706" i="2"/>
  <c r="E704" i="2"/>
  <c r="AH249" i="2"/>
  <c r="AD315" i="2"/>
  <c r="AD192" i="2"/>
  <c r="C420" i="2"/>
  <c r="C419" i="2"/>
  <c r="C408" i="2"/>
  <c r="W259" i="2"/>
  <c r="W261" i="2" s="1"/>
  <c r="W274" i="2"/>
  <c r="W258" i="2"/>
  <c r="AD101" i="5"/>
  <c r="AS246" i="2"/>
  <c r="AS248" i="2"/>
  <c r="AS252" i="2" s="1"/>
  <c r="AJ250" i="2"/>
  <c r="P687" i="2"/>
  <c r="R104" i="5"/>
  <c r="AF104" i="5"/>
  <c r="V104" i="5"/>
  <c r="M798" i="2"/>
  <c r="M352" i="2"/>
  <c r="M354" i="2" s="1"/>
  <c r="X259" i="2"/>
  <c r="X261" i="2" s="1"/>
  <c r="X258" i="2"/>
  <c r="X274" i="2"/>
  <c r="AK800" i="2"/>
  <c r="T695" i="2"/>
  <c r="AM28" i="2"/>
  <c r="AU577" i="2"/>
  <c r="AE313" i="2"/>
  <c r="AE131" i="2"/>
  <c r="Y252" i="2"/>
  <c r="E685" i="2"/>
  <c r="AJ420" i="2"/>
  <c r="AJ408" i="2"/>
  <c r="AJ419" i="2"/>
  <c r="AK798" i="2"/>
  <c r="AK352" i="2"/>
  <c r="AK354" i="2" s="1"/>
  <c r="G798" i="2"/>
  <c r="G352" i="2"/>
  <c r="G354" i="2" s="1"/>
  <c r="U29" i="7"/>
  <c r="AL21" i="2"/>
  <c r="AL22" i="2"/>
  <c r="AQ22" i="2"/>
  <c r="AH313" i="2"/>
  <c r="AH131" i="2"/>
  <c r="AK246" i="2"/>
  <c r="AK248" i="2"/>
  <c r="C126" i="5"/>
  <c r="C38" i="5"/>
  <c r="C43" i="5" s="1"/>
  <c r="C94" i="5" s="1"/>
  <c r="C95" i="5" s="1"/>
  <c r="C102" i="5" s="1"/>
  <c r="AU103" i="5"/>
  <c r="AU396" i="2"/>
  <c r="AU404" i="2"/>
  <c r="AU391" i="2"/>
  <c r="AU322" i="2"/>
  <c r="AU56" i="5" s="1"/>
  <c r="S274" i="2"/>
  <c r="S259" i="2"/>
  <c r="S261" i="2" s="1"/>
  <c r="S258" i="2"/>
  <c r="G246" i="2"/>
  <c r="G250" i="2"/>
  <c r="AD246" i="2"/>
  <c r="AD251" i="2"/>
  <c r="AJ447" i="2"/>
  <c r="AJ448" i="2" s="1"/>
  <c r="AJ449" i="2" s="1"/>
  <c r="P313" i="2"/>
  <c r="P131" i="2"/>
  <c r="U131" i="2"/>
  <c r="AP22" i="2"/>
  <c r="AQ21" i="2"/>
  <c r="AP21" i="2"/>
  <c r="Z103" i="5"/>
  <c r="Z104" i="5" s="1"/>
  <c r="Z108" i="5" s="1"/>
  <c r="Z391" i="2"/>
  <c r="Z396" i="2"/>
  <c r="Z404" i="2"/>
  <c r="Z322" i="2"/>
  <c r="Z56" i="5" s="1"/>
  <c r="AP48" i="5"/>
  <c r="AP128" i="5" s="1"/>
  <c r="AP279" i="2"/>
  <c r="AP323" i="2"/>
  <c r="AP57" i="5" s="1"/>
  <c r="AK249" i="2"/>
  <c r="AK48" i="5"/>
  <c r="AK128" i="5" s="1"/>
  <c r="AK279" i="2"/>
  <c r="AK323" i="2"/>
  <c r="AK57" i="5" s="1"/>
  <c r="AQ246" i="2"/>
  <c r="AQ250" i="2"/>
  <c r="M315" i="2"/>
  <c r="M192" i="2"/>
  <c r="AL103" i="5"/>
  <c r="AP104" i="5" s="1"/>
  <c r="AL391" i="2"/>
  <c r="AL396" i="2"/>
  <c r="AL404" i="2"/>
  <c r="AL322" i="2"/>
  <c r="AL56" i="5" s="1"/>
  <c r="AA420" i="2"/>
  <c r="AA419" i="2"/>
  <c r="AA408" i="2"/>
  <c r="AK183" i="2"/>
  <c r="Z252" i="2"/>
  <c r="P250" i="2"/>
  <c r="P252" i="2" s="1"/>
  <c r="Q246" i="2"/>
  <c r="Q250" i="2"/>
  <c r="AD408" i="2"/>
  <c r="AD420" i="2"/>
  <c r="AD419" i="2"/>
  <c r="L48" i="5"/>
  <c r="L128" i="5" s="1"/>
  <c r="L323" i="2"/>
  <c r="L57" i="5" s="1"/>
  <c r="L279" i="2"/>
  <c r="U315" i="2"/>
  <c r="U192" i="2"/>
  <c r="K259" i="2"/>
  <c r="K261" i="2" s="1"/>
  <c r="K274" i="2"/>
  <c r="K258" i="2"/>
  <c r="Y48" i="5"/>
  <c r="Y128" i="5" s="1"/>
  <c r="Y279" i="2"/>
  <c r="Y323" i="2"/>
  <c r="Y57" i="5" s="1"/>
  <c r="AN664" i="2"/>
  <c r="AM800" i="2"/>
  <c r="K246" i="2"/>
  <c r="K248" i="2"/>
  <c r="K252" i="2" s="1"/>
  <c r="AM251" i="2"/>
  <c r="U797" i="2"/>
  <c r="O420" i="2"/>
  <c r="O419" i="2"/>
  <c r="O408" i="2"/>
  <c r="AF687" i="2"/>
  <c r="W687" i="2"/>
  <c r="Q692" i="2"/>
  <c r="P695" i="2"/>
  <c r="U692" i="2"/>
  <c r="AD250" i="2"/>
  <c r="C397" i="2"/>
  <c r="C328" i="2"/>
  <c r="C58" i="5" s="1"/>
  <c r="W798" i="2"/>
  <c r="W352" i="2"/>
  <c r="W354" i="2" s="1"/>
  <c r="AK27" i="2"/>
  <c r="AH316" i="2"/>
  <c r="AH219" i="2"/>
  <c r="P685" i="2"/>
  <c r="AG361" i="2"/>
  <c r="AG368" i="2" s="1"/>
  <c r="L126" i="5"/>
  <c r="L38" i="5"/>
  <c r="L43" i="5" s="1"/>
  <c r="M258" i="2"/>
  <c r="M274" i="2"/>
  <c r="M259" i="2"/>
  <c r="R258" i="2"/>
  <c r="AW183" i="2"/>
  <c r="X798" i="2"/>
  <c r="X352" i="2"/>
  <c r="X354" i="2" s="1"/>
  <c r="AY694" i="2"/>
  <c r="AU695" i="2"/>
  <c r="R69" i="5"/>
  <c r="R664" i="2"/>
  <c r="R800" i="2" s="1"/>
  <c r="AK131" i="5"/>
  <c r="U42" i="7"/>
  <c r="Q42" i="7"/>
  <c r="AD126" i="5"/>
  <c r="AD38" i="5"/>
  <c r="AD43" i="5" s="1"/>
  <c r="Y97" i="5"/>
  <c r="AO25" i="5"/>
  <c r="AO12" i="2"/>
  <c r="AE246" i="2"/>
  <c r="AE250" i="2"/>
  <c r="AE252" i="2" s="1"/>
  <c r="AK258" i="2"/>
  <c r="AK274" i="2"/>
  <c r="AK259" i="2"/>
  <c r="AP258" i="2"/>
  <c r="AL27" i="5"/>
  <c r="AL115" i="2"/>
  <c r="AL114" i="2"/>
  <c r="AL26" i="2"/>
  <c r="AH248" i="2"/>
  <c r="C246" i="2"/>
  <c r="C250" i="2"/>
  <c r="C252" i="2" s="1"/>
  <c r="E48" i="5"/>
  <c r="E128" i="5" s="1"/>
  <c r="E279" i="2"/>
  <c r="E323" i="2"/>
  <c r="E57" i="5" s="1"/>
  <c r="T48" i="5"/>
  <c r="T128" i="5" s="1"/>
  <c r="T279" i="2"/>
  <c r="T323" i="2"/>
  <c r="T57" i="5" s="1"/>
  <c r="AU676" i="2"/>
  <c r="S798" i="2"/>
  <c r="S352" i="2"/>
  <c r="S354" i="2" s="1"/>
  <c r="AY8" i="5"/>
  <c r="AY796" i="2"/>
  <c r="AZ455" i="2"/>
  <c r="I27" i="2"/>
  <c r="H27" i="2"/>
  <c r="AU314" i="2"/>
  <c r="AU178" i="2"/>
  <c r="AZ177" i="2"/>
  <c r="AZ314" i="2" s="1"/>
  <c r="G248" i="2"/>
  <c r="G252" i="2" s="1"/>
  <c r="AD248" i="2"/>
  <c r="AF126" i="5"/>
  <c r="AF38" i="5"/>
  <c r="AF43" i="5" s="1"/>
  <c r="AH48" i="5"/>
  <c r="AH128" i="5" s="1"/>
  <c r="AH323" i="2"/>
  <c r="AH57" i="5" s="1"/>
  <c r="AH279" i="2"/>
  <c r="AG103" i="5"/>
  <c r="AG104" i="5" s="1"/>
  <c r="AG396" i="2"/>
  <c r="AG404" i="2"/>
  <c r="AG391" i="2"/>
  <c r="AG322" i="2"/>
  <c r="AG56" i="5" s="1"/>
  <c r="AG798" i="2"/>
  <c r="D107" i="5"/>
  <c r="D108" i="5" s="1"/>
  <c r="AP408" i="2"/>
  <c r="AP420" i="2"/>
  <c r="AP419" i="2"/>
  <c r="AF689" i="2"/>
  <c r="T114" i="5"/>
  <c r="O86" i="5"/>
  <c r="O83" i="5" s="1"/>
  <c r="O75" i="5"/>
  <c r="O64" i="5"/>
  <c r="Q86" i="5"/>
  <c r="Q83" i="5" s="1"/>
  <c r="AP219" i="2"/>
  <c r="Q28" i="2"/>
  <c r="R27" i="2"/>
  <c r="Q27" i="2"/>
  <c r="Z274" i="2"/>
  <c r="Z258" i="2"/>
  <c r="Z259" i="2"/>
  <c r="Z261" i="2" s="1"/>
  <c r="W100" i="5"/>
  <c r="W101" i="5" s="1"/>
  <c r="AG114" i="5"/>
  <c r="AB86" i="5"/>
  <c r="AB83" i="5" s="1"/>
  <c r="AB75" i="5"/>
  <c r="AB64" i="5"/>
  <c r="AC86" i="5"/>
  <c r="AC83" i="5" s="1"/>
  <c r="AQ107" i="5"/>
  <c r="AQ108" i="5" s="1"/>
  <c r="AA29" i="7"/>
  <c r="AS182" i="2"/>
  <c r="AS183" i="2"/>
  <c r="AS185" i="2"/>
  <c r="AQ248" i="2"/>
  <c r="AQ252" i="2" s="1"/>
  <c r="AA397" i="2"/>
  <c r="AA328" i="2"/>
  <c r="AA58" i="5" s="1"/>
  <c r="AQ685" i="2"/>
  <c r="AN31" i="5"/>
  <c r="AN53" i="5" s="1"/>
  <c r="AN312" i="2"/>
  <c r="AN317" i="2" s="1"/>
  <c r="AN309" i="2"/>
  <c r="AN310" i="2" s="1"/>
  <c r="AI664" i="2"/>
  <c r="AI800" i="2" s="1"/>
  <c r="X97" i="5"/>
  <c r="U246" i="2"/>
  <c r="U248" i="2"/>
  <c r="U252" i="2" s="1"/>
  <c r="AT315" i="2"/>
  <c r="AT192" i="2"/>
  <c r="AS327" i="2"/>
  <c r="Q248" i="2"/>
  <c r="Q252" i="2" s="1"/>
  <c r="AD397" i="2"/>
  <c r="AD328" i="2"/>
  <c r="AD58" i="5" s="1"/>
  <c r="K103" i="5"/>
  <c r="K104" i="5" s="1"/>
  <c r="K396" i="2"/>
  <c r="K404" i="2"/>
  <c r="K391" i="2"/>
  <c r="K322" i="2"/>
  <c r="K56" i="5" s="1"/>
  <c r="L420" i="2"/>
  <c r="L408" i="2"/>
  <c r="L419" i="2"/>
  <c r="U250" i="2"/>
  <c r="AQ689" i="2"/>
  <c r="K798" i="2"/>
  <c r="K352" i="2"/>
  <c r="K354" i="2" s="1"/>
  <c r="AX21" i="2"/>
  <c r="AX22" i="2"/>
  <c r="V313" i="2"/>
  <c r="V131" i="2"/>
  <c r="AM316" i="2"/>
  <c r="AM219" i="2"/>
  <c r="AR219" i="2"/>
  <c r="AO313" i="2"/>
  <c r="AO131" i="2"/>
  <c r="O397" i="2"/>
  <c r="O328" i="2"/>
  <c r="O58" i="5" s="1"/>
  <c r="U361" i="2"/>
  <c r="U368" i="2" s="1"/>
  <c r="P96" i="5"/>
  <c r="P790" i="2"/>
  <c r="P802" i="2"/>
  <c r="U802" i="2"/>
  <c r="BA26" i="5"/>
  <c r="BA101" i="2"/>
  <c r="BA109" i="2"/>
  <c r="BA100" i="2"/>
  <c r="BA70" i="2"/>
  <c r="BA17" i="2"/>
  <c r="AB28" i="2"/>
  <c r="AB27" i="2"/>
  <c r="AT375" i="2"/>
  <c r="AT378" i="2" s="1"/>
  <c r="AT361" i="2"/>
  <c r="AT368" i="2" s="1"/>
  <c r="AC249" i="2"/>
  <c r="AC252" i="2" s="1"/>
  <c r="F48" i="5"/>
  <c r="F128" i="5" s="1"/>
  <c r="F279" i="2"/>
  <c r="F323" i="2"/>
  <c r="F57" i="5" s="1"/>
  <c r="V687" i="2"/>
  <c r="AS664" i="2"/>
  <c r="AS800" i="2" s="1"/>
  <c r="K97" i="5"/>
  <c r="O315" i="2"/>
  <c r="O192" i="2"/>
  <c r="AH251" i="2"/>
  <c r="P688" i="2"/>
  <c r="S126" i="5"/>
  <c r="S38" i="5"/>
  <c r="S43" i="5" s="1"/>
  <c r="AW182" i="2"/>
  <c r="AU191" i="2"/>
  <c r="P258" i="2"/>
  <c r="P274" i="2"/>
  <c r="P259" i="2"/>
  <c r="U258" i="2"/>
  <c r="AR100" i="5"/>
  <c r="AR101" i="5" s="1"/>
  <c r="AW97" i="5"/>
  <c r="AB664" i="2"/>
  <c r="AA800" i="2" s="1"/>
  <c r="R62" i="5"/>
  <c r="T86" i="5" s="1"/>
  <c r="T83" i="5" s="1"/>
  <c r="R433" i="2"/>
  <c r="R446" i="2"/>
  <c r="R447" i="2" s="1"/>
  <c r="R448" i="2" s="1"/>
  <c r="R449" i="2" s="1"/>
  <c r="AM115" i="2"/>
  <c r="AI114" i="5"/>
  <c r="AD86" i="5"/>
  <c r="AD83" i="5" s="1"/>
  <c r="AD75" i="5"/>
  <c r="AD64" i="5"/>
  <c r="AH86" i="5"/>
  <c r="AH83" i="5" s="1"/>
  <c r="AF86" i="5"/>
  <c r="AF83" i="5" s="1"/>
  <c r="AG86" i="5"/>
  <c r="AG83" i="5" s="1"/>
  <c r="AS107" i="5"/>
  <c r="P50" i="7"/>
  <c r="AP664" i="2"/>
  <c r="AP667" i="2" s="1"/>
  <c r="AV678" i="2"/>
  <c r="N800" i="2"/>
  <c r="AJ29" i="7"/>
  <c r="L800" i="2"/>
  <c r="E484" i="2" l="1"/>
  <c r="E4" i="5"/>
  <c r="AP803" i="2"/>
  <c r="AP672" i="2"/>
  <c r="AQ666" i="2"/>
  <c r="AQ667" i="2" s="1"/>
  <c r="D484" i="2"/>
  <c r="D470" i="2" s="1"/>
  <c r="D4" i="5"/>
  <c r="BD135" i="2"/>
  <c r="BE90" i="2"/>
  <c r="BD92" i="2"/>
  <c r="BD99" i="2"/>
  <c r="BD14" i="2"/>
  <c r="P97" i="5"/>
  <c r="U97" i="5"/>
  <c r="K48" i="5"/>
  <c r="K128" i="5" s="1"/>
  <c r="K323" i="2"/>
  <c r="K57" i="5" s="1"/>
  <c r="K279" i="2"/>
  <c r="X107" i="5"/>
  <c r="Z797" i="2"/>
  <c r="Z276" i="2"/>
  <c r="Z277" i="2" s="1"/>
  <c r="Z275" i="2"/>
  <c r="AH281" i="2"/>
  <c r="AH283" i="2"/>
  <c r="C47" i="5"/>
  <c r="C465" i="2"/>
  <c r="C329" i="2"/>
  <c r="AU48" i="5"/>
  <c r="AU128" i="5" s="1"/>
  <c r="AU323" i="2"/>
  <c r="AU57" i="5" s="1"/>
  <c r="AU279" i="2"/>
  <c r="M356" i="2"/>
  <c r="M358" i="2"/>
  <c r="Z126" i="5"/>
  <c r="Z38" i="5"/>
  <c r="Z43" i="5" s="1"/>
  <c r="N397" i="2"/>
  <c r="N328" i="2"/>
  <c r="N58" i="5" s="1"/>
  <c r="R108" i="5"/>
  <c r="Y412" i="2"/>
  <c r="Y793" i="2"/>
  <c r="AW797" i="2"/>
  <c r="AW275" i="2"/>
  <c r="AW276" i="2"/>
  <c r="AW277" i="2" s="1"/>
  <c r="K126" i="5"/>
  <c r="K38" i="5"/>
  <c r="K43" i="5" s="1"/>
  <c r="K115" i="5"/>
  <c r="F66" i="5"/>
  <c r="F73" i="5" s="1"/>
  <c r="F131" i="5" s="1"/>
  <c r="F76" i="5"/>
  <c r="F78" i="5" s="1"/>
  <c r="F115" i="5"/>
  <c r="AF27" i="5"/>
  <c r="AF26" i="2"/>
  <c r="AK115" i="2"/>
  <c r="AG114" i="2"/>
  <c r="N107" i="5"/>
  <c r="N108" i="5" s="1"/>
  <c r="AL107" i="5"/>
  <c r="AK686" i="2"/>
  <c r="AP686" i="2"/>
  <c r="W800" i="2"/>
  <c r="I2" i="5"/>
  <c r="I5" i="7"/>
  <c r="J5" i="2"/>
  <c r="N50" i="7"/>
  <c r="N49" i="7"/>
  <c r="O42" i="7" s="1"/>
  <c r="D420" i="2"/>
  <c r="D408" i="2"/>
  <c r="D419" i="2"/>
  <c r="AC283" i="2"/>
  <c r="AC281" i="2"/>
  <c r="S283" i="2"/>
  <c r="X104" i="5"/>
  <c r="AS35" i="5"/>
  <c r="AS54" i="5"/>
  <c r="AS53" i="5"/>
  <c r="V800" i="2"/>
  <c r="AV283" i="2"/>
  <c r="AV281" i="2"/>
  <c r="H412" i="2"/>
  <c r="H793" i="2"/>
  <c r="AG803" i="2"/>
  <c r="AH666" i="2"/>
  <c r="AH667" i="2" s="1"/>
  <c r="AG672" i="2"/>
  <c r="AA108" i="5"/>
  <c r="O800" i="2"/>
  <c r="AQ356" i="2"/>
  <c r="AQ358" i="2"/>
  <c r="AY122" i="2"/>
  <c r="AI115" i="5"/>
  <c r="AD66" i="5"/>
  <c r="AD73" i="5" s="1"/>
  <c r="AD131" i="5" s="1"/>
  <c r="AD76" i="5"/>
  <c r="AD78" i="5" s="1"/>
  <c r="K420" i="2"/>
  <c r="K408" i="2"/>
  <c r="K419" i="2"/>
  <c r="AZ8" i="5"/>
  <c r="AZ796" i="2"/>
  <c r="BA455" i="2"/>
  <c r="AZ453" i="2"/>
  <c r="AZ761" i="2" s="1"/>
  <c r="AU420" i="2"/>
  <c r="AU408" i="2"/>
  <c r="AU419" i="2"/>
  <c r="C801" i="2"/>
  <c r="C412" i="2"/>
  <c r="C793" i="2"/>
  <c r="N48" i="5"/>
  <c r="N128" i="5" s="1"/>
  <c r="N279" i="2"/>
  <c r="S281" i="2" s="1"/>
  <c r="N323" i="2"/>
  <c r="N57" i="5" s="1"/>
  <c r="O94" i="5"/>
  <c r="O44" i="5"/>
  <c r="W48" i="5"/>
  <c r="W128" i="5" s="1"/>
  <c r="W323" i="2"/>
  <c r="W57" i="5" s="1"/>
  <c r="W279" i="2"/>
  <c r="AM94" i="5"/>
  <c r="AM44" i="5"/>
  <c r="AE356" i="2"/>
  <c r="AE358" i="2"/>
  <c r="AT22" i="2"/>
  <c r="J356" i="2"/>
  <c r="J358" i="2"/>
  <c r="V412" i="2"/>
  <c r="V793" i="2"/>
  <c r="AG126" i="5"/>
  <c r="AG38" i="5"/>
  <c r="AG43" i="5" s="1"/>
  <c r="Q47" i="5"/>
  <c r="Q465" i="2"/>
  <c r="Q329" i="2"/>
  <c r="Q107" i="5"/>
  <c r="Q108" i="5" s="1"/>
  <c r="U115" i="5"/>
  <c r="P66" i="5"/>
  <c r="P73" i="5" s="1"/>
  <c r="P131" i="5" s="1"/>
  <c r="P76" i="5"/>
  <c r="P78" i="5" s="1"/>
  <c r="AU689" i="2"/>
  <c r="AZ681" i="2"/>
  <c r="M47" i="5"/>
  <c r="M465" i="2"/>
  <c r="M329" i="2"/>
  <c r="AK689" i="2"/>
  <c r="AP689" i="2"/>
  <c r="H4" i="7"/>
  <c r="AO47" i="5"/>
  <c r="AO465" i="2"/>
  <c r="AO329" i="2"/>
  <c r="AO466" i="2"/>
  <c r="AE283" i="2"/>
  <c r="M50" i="7"/>
  <c r="D397" i="2"/>
  <c r="D328" i="2"/>
  <c r="D58" i="5" s="1"/>
  <c r="P126" i="5"/>
  <c r="P38" i="5"/>
  <c r="P43" i="5" s="1"/>
  <c r="M412" i="2"/>
  <c r="M793" i="2"/>
  <c r="Q94" i="5"/>
  <c r="Q44" i="5"/>
  <c r="D261" i="2"/>
  <c r="Y356" i="2"/>
  <c r="Y358" i="2"/>
  <c r="AU313" i="2"/>
  <c r="AZ130" i="2"/>
  <c r="AZ313" i="2" s="1"/>
  <c r="AU131" i="2"/>
  <c r="AC797" i="2"/>
  <c r="AC275" i="2"/>
  <c r="AC276" i="2"/>
  <c r="AH275" i="2"/>
  <c r="U126" i="5"/>
  <c r="U38" i="5"/>
  <c r="U43" i="5" s="1"/>
  <c r="AX224" i="2"/>
  <c r="AX126" i="2"/>
  <c r="AX127" i="2"/>
  <c r="AX13" i="5" s="1"/>
  <c r="AX129" i="2"/>
  <c r="AX34" i="2"/>
  <c r="D126" i="5"/>
  <c r="D38" i="5"/>
  <c r="D43" i="5" s="1"/>
  <c r="BB138" i="2"/>
  <c r="BB140" i="2"/>
  <c r="P261" i="2"/>
  <c r="U261" i="2"/>
  <c r="K107" i="5"/>
  <c r="K108" i="5" s="1"/>
  <c r="Y104" i="5"/>
  <c r="K397" i="2"/>
  <c r="K328" i="2"/>
  <c r="K58" i="5" s="1"/>
  <c r="U706" i="2"/>
  <c r="U695" i="2"/>
  <c r="U704" i="2"/>
  <c r="AA412" i="2"/>
  <c r="AA793" i="2"/>
  <c r="Z420" i="2"/>
  <c r="Z408" i="2"/>
  <c r="Y801" i="2" s="1"/>
  <c r="Z419" i="2"/>
  <c r="AU397" i="2"/>
  <c r="AU328" i="2"/>
  <c r="AU58" i="5" s="1"/>
  <c r="W420" i="2"/>
  <c r="W408" i="2"/>
  <c r="W419" i="2"/>
  <c r="AO261" i="2"/>
  <c r="AT261" i="2"/>
  <c r="AK412" i="2"/>
  <c r="AK793" i="2"/>
  <c r="BC136" i="2"/>
  <c r="BC141" i="2" s="1"/>
  <c r="BD141" i="2" s="1"/>
  <c r="BD145" i="2" s="1"/>
  <c r="BC95" i="2"/>
  <c r="BC15" i="2"/>
  <c r="BC57" i="2"/>
  <c r="J48" i="5"/>
  <c r="J128" i="5" s="1"/>
  <c r="J323" i="2"/>
  <c r="J57" i="5" s="1"/>
  <c r="J279" i="2"/>
  <c r="J283" i="2" s="1"/>
  <c r="AC115" i="5"/>
  <c r="X66" i="5"/>
  <c r="X73" i="5" s="1"/>
  <c r="X131" i="5" s="1"/>
  <c r="X76" i="5"/>
  <c r="X78" i="5" s="1"/>
  <c r="X115" i="5"/>
  <c r="AV27" i="2"/>
  <c r="AV28" i="2"/>
  <c r="AW27" i="2"/>
  <c r="F94" i="5"/>
  <c r="F95" i="5" s="1"/>
  <c r="F102" i="5" s="1"/>
  <c r="F44" i="5"/>
  <c r="P356" i="2"/>
  <c r="P358" i="2"/>
  <c r="AF358" i="2"/>
  <c r="AF356" i="2"/>
  <c r="AK685" i="2"/>
  <c r="AP685" i="2"/>
  <c r="AM686" i="2"/>
  <c r="AR686" i="2"/>
  <c r="AN111" i="5"/>
  <c r="AI35" i="5"/>
  <c r="AI55" i="5"/>
  <c r="AI54" i="5"/>
  <c r="AI111" i="5"/>
  <c r="AJ803" i="2"/>
  <c r="AJ672" i="2"/>
  <c r="AK666" i="2"/>
  <c r="AK667" i="2" s="1"/>
  <c r="AS115" i="5"/>
  <c r="AN66" i="5"/>
  <c r="AN73" i="5" s="1"/>
  <c r="AN131" i="5" s="1"/>
  <c r="AN76" i="5"/>
  <c r="AN78" i="5" s="1"/>
  <c r="L107" i="5"/>
  <c r="AR281" i="2"/>
  <c r="AR283" i="2"/>
  <c r="D797" i="2"/>
  <c r="D276" i="2"/>
  <c r="D275" i="2"/>
  <c r="AI29" i="7"/>
  <c r="AO283" i="2"/>
  <c r="AO281" i="2"/>
  <c r="BD804" i="2"/>
  <c r="BD631" i="2"/>
  <c r="BD435" i="2"/>
  <c r="F47" i="5"/>
  <c r="F465" i="2"/>
  <c r="F329" i="2"/>
  <c r="F466" i="2"/>
  <c r="AV47" i="5"/>
  <c r="AV465" i="2"/>
  <c r="AV329" i="2"/>
  <c r="C358" i="2"/>
  <c r="C356" i="2"/>
  <c r="X283" i="2"/>
  <c r="X285" i="2" s="1"/>
  <c r="X281" i="2"/>
  <c r="AH47" i="5"/>
  <c r="AH465" i="2"/>
  <c r="AH329" i="2"/>
  <c r="BB26" i="5"/>
  <c r="BB101" i="2"/>
  <c r="BB100" i="2"/>
  <c r="BB17" i="2"/>
  <c r="AK797" i="2"/>
  <c r="AK275" i="2"/>
  <c r="AK276" i="2"/>
  <c r="AP275" i="2"/>
  <c r="AY63" i="5"/>
  <c r="AY710" i="2"/>
  <c r="AV801" i="2"/>
  <c r="AV412" i="2"/>
  <c r="AV793" i="2"/>
  <c r="P797" i="2"/>
  <c r="P275" i="2"/>
  <c r="P276" i="2"/>
  <c r="U275" i="2"/>
  <c r="BA18" i="2"/>
  <c r="BA19" i="2"/>
  <c r="K356" i="2"/>
  <c r="K358" i="2"/>
  <c r="AP412" i="2"/>
  <c r="AP793" i="2"/>
  <c r="AF94" i="5"/>
  <c r="AF44" i="5"/>
  <c r="AH252" i="2"/>
  <c r="AN667" i="2"/>
  <c r="AN800" i="2"/>
  <c r="L283" i="2"/>
  <c r="L285" i="2" s="1"/>
  <c r="L281" i="2"/>
  <c r="Z397" i="2"/>
  <c r="Z328" i="2"/>
  <c r="Z58" i="5" s="1"/>
  <c r="G356" i="2"/>
  <c r="G358" i="2"/>
  <c r="AP28" i="2"/>
  <c r="AP27" i="2"/>
  <c r="W397" i="2"/>
  <c r="W328" i="2"/>
  <c r="W58" i="5" s="1"/>
  <c r="T800" i="2"/>
  <c r="S800" i="2"/>
  <c r="Y800" i="2"/>
  <c r="J126" i="5"/>
  <c r="J38" i="5"/>
  <c r="J43" i="5" s="1"/>
  <c r="AW688" i="2"/>
  <c r="BB680" i="2"/>
  <c r="AT27" i="5"/>
  <c r="AT115" i="2"/>
  <c r="AT26" i="2"/>
  <c r="AT164" i="2"/>
  <c r="I48" i="5"/>
  <c r="I128" i="5" s="1"/>
  <c r="I323" i="2"/>
  <c r="I57" i="5" s="1"/>
  <c r="I279" i="2"/>
  <c r="I283" i="2" s="1"/>
  <c r="Z356" i="2"/>
  <c r="Z358" i="2"/>
  <c r="O114" i="5"/>
  <c r="J86" i="5"/>
  <c r="J83" i="5" s="1"/>
  <c r="J75" i="5"/>
  <c r="J64" i="5"/>
  <c r="BA10" i="2"/>
  <c r="BA65" i="2"/>
  <c r="BA64" i="2"/>
  <c r="J420" i="2"/>
  <c r="J408" i="2"/>
  <c r="J419" i="2"/>
  <c r="AB48" i="5"/>
  <c r="AB128" i="5" s="1"/>
  <c r="AB323" i="2"/>
  <c r="AB57" i="5" s="1"/>
  <c r="AB279" i="2"/>
  <c r="M104" i="5"/>
  <c r="AR27" i="2"/>
  <c r="AR28" i="2"/>
  <c r="AW28" i="2"/>
  <c r="V94" i="5"/>
  <c r="V130" i="5"/>
  <c r="V44" i="5"/>
  <c r="L797" i="2"/>
  <c r="L275" i="2"/>
  <c r="L276" i="2"/>
  <c r="BA27" i="5"/>
  <c r="BA114" i="2"/>
  <c r="BA26" i="2"/>
  <c r="BB114" i="2"/>
  <c r="BA164" i="2"/>
  <c r="AM689" i="2"/>
  <c r="AR689" i="2"/>
  <c r="D356" i="2"/>
  <c r="D358" i="2"/>
  <c r="AN684" i="2"/>
  <c r="AS258" i="2"/>
  <c r="AS274" i="2"/>
  <c r="AS259" i="2"/>
  <c r="AQ261" i="2"/>
  <c r="AV261" i="2"/>
  <c r="AI259" i="2"/>
  <c r="AI261" i="2" s="1"/>
  <c r="AI274" i="2"/>
  <c r="AI258" i="2"/>
  <c r="AO801" i="2"/>
  <c r="AO412" i="2"/>
  <c r="AO793" i="2"/>
  <c r="M130" i="5"/>
  <c r="M94" i="5"/>
  <c r="M44" i="5"/>
  <c r="AU688" i="2"/>
  <c r="AZ680" i="2"/>
  <c r="AT281" i="2"/>
  <c r="AT283" i="2"/>
  <c r="AT285" i="2" s="1"/>
  <c r="Y115" i="5"/>
  <c r="T66" i="5"/>
  <c r="T73" i="5" s="1"/>
  <c r="T131" i="5" s="1"/>
  <c r="T76" i="5"/>
  <c r="T78" i="5" s="1"/>
  <c r="BD812" i="2"/>
  <c r="X801" i="2"/>
  <c r="X412" i="2"/>
  <c r="X793" i="2"/>
  <c r="AH104" i="5"/>
  <c r="BC777" i="2"/>
  <c r="BD766" i="2"/>
  <c r="BC490" i="2"/>
  <c r="BC9" i="5" s="1"/>
  <c r="Y261" i="2"/>
  <c r="AD261" i="2"/>
  <c r="AI27" i="2"/>
  <c r="T47" i="5"/>
  <c r="T465" i="2"/>
  <c r="T329" i="2"/>
  <c r="AD104" i="5"/>
  <c r="AX124" i="2"/>
  <c r="AY123" i="2"/>
  <c r="X800" i="2"/>
  <c r="AC800" i="2"/>
  <c r="AQ47" i="5"/>
  <c r="AQ465" i="2"/>
  <c r="AQ329" i="2"/>
  <c r="AG21" i="2"/>
  <c r="AK22" i="2"/>
  <c r="O47" i="5"/>
  <c r="O465" i="2"/>
  <c r="O329" i="2"/>
  <c r="AG115" i="5"/>
  <c r="AB66" i="5"/>
  <c r="AB73" i="5" s="1"/>
  <c r="AB131" i="5" s="1"/>
  <c r="AB76" i="5"/>
  <c r="AB78" i="5" s="1"/>
  <c r="S356" i="2"/>
  <c r="S358" i="2"/>
  <c r="AL28" i="2"/>
  <c r="AL27" i="2"/>
  <c r="X356" i="2"/>
  <c r="X358" i="2"/>
  <c r="Q695" i="2"/>
  <c r="AK281" i="2"/>
  <c r="AK283" i="2"/>
  <c r="Z48" i="5"/>
  <c r="Z128" i="5" s="1"/>
  <c r="Z279" i="2"/>
  <c r="AE281" i="2" s="1"/>
  <c r="Z323" i="2"/>
  <c r="Z57" i="5" s="1"/>
  <c r="AM27" i="2"/>
  <c r="AZ150" i="2"/>
  <c r="AZ146" i="2"/>
  <c r="AZ109" i="2"/>
  <c r="Q356" i="2"/>
  <c r="Q358" i="2"/>
  <c r="AE261" i="2"/>
  <c r="AJ261" i="2"/>
  <c r="P115" i="5"/>
  <c r="K76" i="5"/>
  <c r="K78" i="5" s="1"/>
  <c r="K66" i="5"/>
  <c r="K73" i="5" s="1"/>
  <c r="K131" i="5" s="1"/>
  <c r="G797" i="2"/>
  <c r="G276" i="2"/>
  <c r="AD800" i="2"/>
  <c r="AF800" i="2"/>
  <c r="T358" i="2"/>
  <c r="T356" i="2"/>
  <c r="AO797" i="2"/>
  <c r="AO275" i="2"/>
  <c r="AO276" i="2"/>
  <c r="AT275" i="2"/>
  <c r="AN688" i="2"/>
  <c r="I420" i="2"/>
  <c r="I408" i="2"/>
  <c r="I419" i="2"/>
  <c r="Q2" i="5"/>
  <c r="Q5" i="7"/>
  <c r="R5" i="2"/>
  <c r="J397" i="2"/>
  <c r="J328" i="2"/>
  <c r="J58" i="5" s="1"/>
  <c r="AM412" i="2"/>
  <c r="AM130" i="5" s="1"/>
  <c r="AM793" i="2"/>
  <c r="AW356" i="2"/>
  <c r="AW358" i="2"/>
  <c r="AB420" i="2"/>
  <c r="AB408" i="2"/>
  <c r="AB419" i="2"/>
  <c r="V281" i="2"/>
  <c r="V283" i="2"/>
  <c r="AH107" i="5"/>
  <c r="AH108" i="5" s="1"/>
  <c r="AK130" i="5"/>
  <c r="AK94" i="5"/>
  <c r="AK44" i="5"/>
  <c r="C874" i="2"/>
  <c r="C484" i="2" s="1"/>
  <c r="A874" i="2"/>
  <c r="H130" i="5"/>
  <c r="H94" i="5"/>
  <c r="H44" i="5"/>
  <c r="X86" i="5"/>
  <c r="X83" i="5" s="1"/>
  <c r="X94" i="5"/>
  <c r="X44" i="5"/>
  <c r="L261" i="2"/>
  <c r="AU356" i="2"/>
  <c r="AU358" i="2"/>
  <c r="AC94" i="5"/>
  <c r="AC44" i="5"/>
  <c r="L104" i="5"/>
  <c r="AK683" i="2"/>
  <c r="AP683" i="2"/>
  <c r="AT252" i="2"/>
  <c r="V107" i="5"/>
  <c r="V108" i="5" s="1"/>
  <c r="AS352" i="2"/>
  <c r="AS354" i="2" s="1"/>
  <c r="AS798" i="2"/>
  <c r="AQ797" i="2"/>
  <c r="AQ276" i="2"/>
  <c r="AQ275" i="2"/>
  <c r="AV275" i="2"/>
  <c r="AI352" i="2"/>
  <c r="AI354" i="2" s="1"/>
  <c r="AI798" i="2"/>
  <c r="AS103" i="5"/>
  <c r="AS104" i="5" s="1"/>
  <c r="AS396" i="2"/>
  <c r="AS404" i="2"/>
  <c r="AS391" i="2"/>
  <c r="AS322" i="2"/>
  <c r="AS56" i="5" s="1"/>
  <c r="T412" i="2"/>
  <c r="T793" i="2"/>
  <c r="AI266" i="2"/>
  <c r="AN266" i="2"/>
  <c r="AW47" i="5"/>
  <c r="AW465" i="2"/>
  <c r="AW329" i="2"/>
  <c r="Y797" i="2"/>
  <c r="Y275" i="2"/>
  <c r="Y276" i="2"/>
  <c r="AD275" i="2"/>
  <c r="AX315" i="2"/>
  <c r="BC191" i="2"/>
  <c r="BC315" i="2" s="1"/>
  <c r="AN48" i="5"/>
  <c r="AN128" i="5" s="1"/>
  <c r="AN323" i="2"/>
  <c r="AN57" i="5" s="1"/>
  <c r="AN279" i="2"/>
  <c r="AW683" i="2"/>
  <c r="BB675" i="2"/>
  <c r="AV684" i="2"/>
  <c r="BA676" i="2"/>
  <c r="AV686" i="2"/>
  <c r="BA678" i="2"/>
  <c r="AD47" i="5"/>
  <c r="AD465" i="2"/>
  <c r="AD329" i="2"/>
  <c r="AD252" i="2"/>
  <c r="Y107" i="5"/>
  <c r="Y108" i="5" s="1"/>
  <c r="Y281" i="2"/>
  <c r="Y283" i="2"/>
  <c r="AK356" i="2"/>
  <c r="AK358" i="2"/>
  <c r="L47" i="5"/>
  <c r="L465" i="2"/>
  <c r="L329" i="2"/>
  <c r="AK47" i="5"/>
  <c r="AK465" i="2"/>
  <c r="AK329" i="2"/>
  <c r="AE797" i="2"/>
  <c r="AE276" i="2"/>
  <c r="AE275" i="2"/>
  <c r="AJ275" i="2"/>
  <c r="M2" i="5"/>
  <c r="M5" i="7"/>
  <c r="N5" i="2"/>
  <c r="V27" i="2"/>
  <c r="V28" i="2"/>
  <c r="AM47" i="5"/>
  <c r="AM465" i="2"/>
  <c r="AM329" i="2"/>
  <c r="AU27" i="2"/>
  <c r="AU28" i="2"/>
  <c r="I397" i="2"/>
  <c r="I328" i="2"/>
  <c r="I58" i="5" s="1"/>
  <c r="Q800" i="2"/>
  <c r="AO107" i="5"/>
  <c r="AO108" i="5" s="1"/>
  <c r="J800" i="2"/>
  <c r="U2" i="5"/>
  <c r="U5" i="7"/>
  <c r="Z5" i="2"/>
  <c r="V5" i="2"/>
  <c r="AB397" i="2"/>
  <c r="AB328" i="2"/>
  <c r="AB58" i="5" s="1"/>
  <c r="AN687" i="2"/>
  <c r="C797" i="2"/>
  <c r="C276" i="2"/>
  <c r="M281" i="2"/>
  <c r="M283" i="2"/>
  <c r="M285" i="2" s="1"/>
  <c r="AQ283" i="2"/>
  <c r="AM687" i="2"/>
  <c r="AR687" i="2"/>
  <c r="P48" i="5"/>
  <c r="P128" i="5" s="1"/>
  <c r="P323" i="2"/>
  <c r="P57" i="5" s="1"/>
  <c r="P279" i="2"/>
  <c r="W126" i="5"/>
  <c r="W38" i="5"/>
  <c r="W43" i="5" s="1"/>
  <c r="AV104" i="5"/>
  <c r="AV108" i="5" s="1"/>
  <c r="AB115" i="5"/>
  <c r="W76" i="5"/>
  <c r="W78" i="5" s="1"/>
  <c r="W66" i="5"/>
  <c r="W73" i="5" s="1"/>
  <c r="W131" i="5" s="1"/>
  <c r="Q114" i="5"/>
  <c r="L86" i="5"/>
  <c r="L83" i="5" s="1"/>
  <c r="L75" i="5"/>
  <c r="L64" i="5"/>
  <c r="N86" i="5"/>
  <c r="N83" i="5" s="1"/>
  <c r="M86" i="5"/>
  <c r="M83" i="5" s="1"/>
  <c r="L114" i="5"/>
  <c r="W107" i="5"/>
  <c r="W108" i="5" s="1"/>
  <c r="AY146" i="2"/>
  <c r="AY109" i="2"/>
  <c r="AY113" i="2" s="1"/>
  <c r="AY211" i="2"/>
  <c r="AX212" i="2"/>
  <c r="AX214" i="2"/>
  <c r="H358" i="2"/>
  <c r="H356" i="2"/>
  <c r="AW684" i="2"/>
  <c r="BB676" i="2"/>
  <c r="AX677" i="2"/>
  <c r="BC677" i="2" s="1"/>
  <c r="AS685" i="2"/>
  <c r="AP688" i="2"/>
  <c r="AI271" i="2"/>
  <c r="AN271" i="2"/>
  <c r="AN258" i="2"/>
  <c r="AN274" i="2"/>
  <c r="AN259" i="2"/>
  <c r="AN261" i="2" s="1"/>
  <c r="H797" i="2"/>
  <c r="H276" i="2"/>
  <c r="AX265" i="2"/>
  <c r="BC265" i="2" s="1"/>
  <c r="AS266" i="2"/>
  <c r="AN107" i="5"/>
  <c r="G7" i="2"/>
  <c r="G63" i="2"/>
  <c r="L56" i="2"/>
  <c r="G67" i="2"/>
  <c r="AN420" i="2"/>
  <c r="AN408" i="2"/>
  <c r="AN419" i="2"/>
  <c r="E47" i="5"/>
  <c r="E465" i="2"/>
  <c r="E329" i="2"/>
  <c r="AQ94" i="5"/>
  <c r="AQ44" i="5"/>
  <c r="L94" i="5"/>
  <c r="L44" i="5"/>
  <c r="AM252" i="2"/>
  <c r="E121" i="5"/>
  <c r="E6" i="5"/>
  <c r="AW412" i="2"/>
  <c r="AW793" i="2"/>
  <c r="AC261" i="2"/>
  <c r="AH261" i="2"/>
  <c r="AP800" i="2"/>
  <c r="AQ800" i="2"/>
  <c r="AU315" i="2"/>
  <c r="AU192" i="2"/>
  <c r="AZ191" i="2"/>
  <c r="AZ315" i="2" s="1"/>
  <c r="F283" i="2"/>
  <c r="F281" i="2"/>
  <c r="BA111" i="2"/>
  <c r="BA121" i="2"/>
  <c r="BA110" i="2"/>
  <c r="BA20" i="2"/>
  <c r="T115" i="5"/>
  <c r="O66" i="5"/>
  <c r="O73" i="5" s="1"/>
  <c r="O131" i="5" s="1"/>
  <c r="O76" i="5"/>
  <c r="O78" i="5" s="1"/>
  <c r="AU684" i="2"/>
  <c r="AZ676" i="2"/>
  <c r="AH800" i="2"/>
  <c r="AL420" i="2"/>
  <c r="AL408" i="2"/>
  <c r="AO808" i="2" s="1"/>
  <c r="AL419" i="2"/>
  <c r="AK252" i="2"/>
  <c r="AM358" i="2"/>
  <c r="AM356" i="2"/>
  <c r="AO356" i="2"/>
  <c r="AO358" i="2"/>
  <c r="BA680" i="2"/>
  <c r="AV688" i="2"/>
  <c r="AZ27" i="5"/>
  <c r="AZ114" i="2"/>
  <c r="AZ26" i="2"/>
  <c r="AZ164" i="2"/>
  <c r="E261" i="2"/>
  <c r="F261" i="2"/>
  <c r="AF412" i="2"/>
  <c r="AF130" i="5" s="1"/>
  <c r="AF793" i="2"/>
  <c r="AL126" i="5"/>
  <c r="AL38" i="5"/>
  <c r="AL43" i="5" s="1"/>
  <c r="C98" i="5"/>
  <c r="AP108" i="5"/>
  <c r="S47" i="5"/>
  <c r="S465" i="2"/>
  <c r="S329" i="2"/>
  <c r="E94" i="5"/>
  <c r="E95" i="5" s="1"/>
  <c r="E44" i="5"/>
  <c r="AN689" i="2"/>
  <c r="AI103" i="5"/>
  <c r="AI396" i="2"/>
  <c r="AI404" i="2"/>
  <c r="AI391" i="2"/>
  <c r="AI322" i="2"/>
  <c r="AI56" i="5" s="1"/>
  <c r="P420" i="2"/>
  <c r="P408" i="2"/>
  <c r="P419" i="2"/>
  <c r="AC801" i="2"/>
  <c r="AC412" i="2"/>
  <c r="AC130" i="5" s="1"/>
  <c r="AC793" i="2"/>
  <c r="O104" i="5"/>
  <c r="F800" i="2"/>
  <c r="E800" i="2"/>
  <c r="AW689" i="2"/>
  <c r="BB681" i="2"/>
  <c r="AS683" i="2"/>
  <c r="AX675" i="2"/>
  <c r="BC675" i="2" s="1"/>
  <c r="D803" i="2"/>
  <c r="D672" i="2"/>
  <c r="E666" i="2"/>
  <c r="E667" i="2" s="1"/>
  <c r="AO130" i="5"/>
  <c r="AO94" i="5"/>
  <c r="AO95" i="5" s="1"/>
  <c r="AO102" i="5" s="1"/>
  <c r="AO44" i="5"/>
  <c r="AK107" i="5"/>
  <c r="AC356" i="2"/>
  <c r="AC358" i="2"/>
  <c r="AN352" i="2"/>
  <c r="AN354" i="2" s="1"/>
  <c r="AN798" i="2"/>
  <c r="AN683" i="2"/>
  <c r="AS271" i="2"/>
  <c r="AX270" i="2"/>
  <c r="BC270" i="2" s="1"/>
  <c r="AB261" i="2"/>
  <c r="AG261" i="2"/>
  <c r="Y130" i="5"/>
  <c r="Y94" i="5"/>
  <c r="Y44" i="5"/>
  <c r="AI53" i="5"/>
  <c r="H876" i="2"/>
  <c r="H874" i="2" s="1"/>
  <c r="H484" i="2" s="1"/>
  <c r="H877" i="2"/>
  <c r="H878" i="2"/>
  <c r="H1" i="5"/>
  <c r="H851" i="2"/>
  <c r="H3" i="2"/>
  <c r="H3" i="7" s="1"/>
  <c r="I4" i="2"/>
  <c r="AS27" i="2"/>
  <c r="AN397" i="2"/>
  <c r="AN328" i="2"/>
  <c r="AN58" i="5" s="1"/>
  <c r="AB356" i="2"/>
  <c r="AB358" i="2"/>
  <c r="F801" i="2"/>
  <c r="F412" i="2"/>
  <c r="F793" i="2"/>
  <c r="AN126" i="5"/>
  <c r="AN38" i="5"/>
  <c r="AN43" i="5" s="1"/>
  <c r="AM797" i="2"/>
  <c r="AM275" i="2"/>
  <c r="AM276" i="2"/>
  <c r="AR275" i="2"/>
  <c r="AA47" i="5"/>
  <c r="AA465" i="2"/>
  <c r="AA329" i="2"/>
  <c r="AD94" i="5"/>
  <c r="AD44" i="5"/>
  <c r="O412" i="2"/>
  <c r="O793" i="2"/>
  <c r="AL397" i="2"/>
  <c r="AL328" i="2"/>
  <c r="AL58" i="5" s="1"/>
  <c r="Y47" i="5"/>
  <c r="Y465" i="2"/>
  <c r="Y329" i="2"/>
  <c r="G94" i="5"/>
  <c r="G44" i="5"/>
  <c r="X47" i="5"/>
  <c r="X465" i="2"/>
  <c r="X329" i="2"/>
  <c r="V47" i="5"/>
  <c r="V465" i="2"/>
  <c r="V329" i="2"/>
  <c r="W27" i="2"/>
  <c r="Q261" i="2"/>
  <c r="V261" i="2"/>
  <c r="E797" i="2"/>
  <c r="E275" i="2"/>
  <c r="E276" i="2"/>
  <c r="F275" i="2"/>
  <c r="O107" i="5"/>
  <c r="O108" i="5" s="1"/>
  <c r="AJ361" i="2"/>
  <c r="AJ368" i="2" s="1"/>
  <c r="L356" i="2"/>
  <c r="L358" i="2"/>
  <c r="AE47" i="5"/>
  <c r="AE465" i="2"/>
  <c r="AE329" i="2"/>
  <c r="AE466" i="2"/>
  <c r="AM281" i="2"/>
  <c r="AM283" i="2"/>
  <c r="AM285" i="2" s="1"/>
  <c r="AC47" i="5"/>
  <c r="AC465" i="2"/>
  <c r="AC329" i="2"/>
  <c r="AR47" i="5"/>
  <c r="AR465" i="2"/>
  <c r="AR329" i="2"/>
  <c r="AM688" i="2"/>
  <c r="AR688" i="2"/>
  <c r="P397" i="2"/>
  <c r="P328" i="2"/>
  <c r="P58" i="5" s="1"/>
  <c r="AO115" i="5"/>
  <c r="AJ66" i="5"/>
  <c r="AJ73" i="5" s="1"/>
  <c r="AJ131" i="5" s="1"/>
  <c r="AJ76" i="5"/>
  <c r="AJ78" i="5" s="1"/>
  <c r="AJ115" i="5"/>
  <c r="R94" i="5"/>
  <c r="R44" i="5"/>
  <c r="BA679" i="2"/>
  <c r="AV687" i="2"/>
  <c r="AX680" i="2"/>
  <c r="BC680" i="2" s="1"/>
  <c r="AS688" i="2"/>
  <c r="P800" i="2"/>
  <c r="U800" i="2"/>
  <c r="AI252" i="2"/>
  <c r="T130" i="5"/>
  <c r="T94" i="5"/>
  <c r="T95" i="5" s="1"/>
  <c r="T98" i="5" s="1"/>
  <c r="T44" i="5"/>
  <c r="AB797" i="2"/>
  <c r="AB275" i="2"/>
  <c r="AB276" i="2"/>
  <c r="AG275" i="2"/>
  <c r="BA150" i="2"/>
  <c r="BA146" i="2"/>
  <c r="G851" i="2"/>
  <c r="AU252" i="2"/>
  <c r="AN104" i="5"/>
  <c r="AH412" i="2"/>
  <c r="AH793" i="2"/>
  <c r="R47" i="5"/>
  <c r="R465" i="2"/>
  <c r="R329" i="2"/>
  <c r="AX679" i="2"/>
  <c r="BC679" i="2" s="1"/>
  <c r="AS687" i="2"/>
  <c r="AU316" i="2"/>
  <c r="AZ218" i="2"/>
  <c r="AZ316" i="2" s="1"/>
  <c r="AU219" i="2"/>
  <c r="W114" i="5"/>
  <c r="R86" i="5"/>
  <c r="R83" i="5" s="1"/>
  <c r="R75" i="5"/>
  <c r="R64" i="5"/>
  <c r="R114" i="5"/>
  <c r="S86" i="5"/>
  <c r="S83" i="5" s="1"/>
  <c r="S94" i="5"/>
  <c r="S95" i="5" s="1"/>
  <c r="S44" i="5"/>
  <c r="AG48" i="5"/>
  <c r="AG128" i="5" s="1"/>
  <c r="AG323" i="2"/>
  <c r="AG57" i="5" s="1"/>
  <c r="AG279" i="2"/>
  <c r="T281" i="2"/>
  <c r="T283" i="2"/>
  <c r="M261" i="2"/>
  <c r="R261" i="2"/>
  <c r="W356" i="2"/>
  <c r="W358" i="2"/>
  <c r="K797" i="2"/>
  <c r="K275" i="2"/>
  <c r="K276" i="2"/>
  <c r="K277" i="2" s="1"/>
  <c r="AD801" i="2"/>
  <c r="AD412" i="2"/>
  <c r="AD793" i="2"/>
  <c r="AL48" i="5"/>
  <c r="AL128" i="5" s="1"/>
  <c r="AL279" i="2"/>
  <c r="AQ281" i="2" s="1"/>
  <c r="AL323" i="2"/>
  <c r="AL57" i="5" s="1"/>
  <c r="AJ801" i="2"/>
  <c r="AJ412" i="2"/>
  <c r="AJ793" i="2"/>
  <c r="AE130" i="5"/>
  <c r="AE94" i="5"/>
  <c r="AE95" i="5" s="1"/>
  <c r="AE44" i="5"/>
  <c r="I126" i="5"/>
  <c r="I38" i="5"/>
  <c r="I43" i="5" s="1"/>
  <c r="BD105" i="2"/>
  <c r="BD136" i="2"/>
  <c r="BD95" i="2"/>
  <c r="BE93" i="2"/>
  <c r="BD15" i="2"/>
  <c r="AJ47" i="5"/>
  <c r="AJ465" i="2"/>
  <c r="AJ329" i="2"/>
  <c r="AJ466" i="2"/>
  <c r="AR94" i="5"/>
  <c r="AR44" i="5"/>
  <c r="BE767" i="2"/>
  <c r="BF454" i="2"/>
  <c r="AF281" i="2"/>
  <c r="AF283" i="2"/>
  <c r="AD115" i="5"/>
  <c r="Y66" i="5"/>
  <c r="Y73" i="5" s="1"/>
  <c r="Y131" i="5" s="1"/>
  <c r="Y76" i="5"/>
  <c r="Y78" i="5" s="1"/>
  <c r="AU126" i="5"/>
  <c r="AU38" i="5"/>
  <c r="AU43" i="5" s="1"/>
  <c r="AQ412" i="2"/>
  <c r="AQ130" i="5" s="1"/>
  <c r="AQ793" i="2"/>
  <c r="AP86" i="5"/>
  <c r="AP83" i="5" s="1"/>
  <c r="AP75" i="5"/>
  <c r="AP64" i="5"/>
  <c r="AQ86" i="5"/>
  <c r="AQ83" i="5" s="1"/>
  <c r="AP114" i="5"/>
  <c r="AR86" i="5"/>
  <c r="AR83" i="5" s="1"/>
  <c r="AP130" i="5"/>
  <c r="AP94" i="5"/>
  <c r="AP44" i="5"/>
  <c r="AW685" i="2"/>
  <c r="BB677" i="2"/>
  <c r="AE808" i="2"/>
  <c r="AE801" i="2"/>
  <c r="AE412" i="2"/>
  <c r="AE793" i="2"/>
  <c r="Q283" i="2"/>
  <c r="Q285" i="2" s="1"/>
  <c r="Q281" i="2"/>
  <c r="AK684" i="2"/>
  <c r="AP684" i="2"/>
  <c r="AA130" i="5"/>
  <c r="AA94" i="5"/>
  <c r="AA44" i="5"/>
  <c r="AR412" i="2"/>
  <c r="AR130" i="5" s="1"/>
  <c r="AR793" i="2"/>
  <c r="AA28" i="2"/>
  <c r="AA27" i="2"/>
  <c r="AU797" i="2"/>
  <c r="AU275" i="2"/>
  <c r="AU276" i="2"/>
  <c r="AU277" i="2" s="1"/>
  <c r="BE203" i="2"/>
  <c r="BE205" i="2" s="1"/>
  <c r="BD206" i="2"/>
  <c r="BD207" i="2" s="1"/>
  <c r="BD43" i="2"/>
  <c r="AJ94" i="5"/>
  <c r="AJ95" i="5" s="1"/>
  <c r="AJ98" i="5" s="1"/>
  <c r="AJ44" i="5"/>
  <c r="AX27" i="2"/>
  <c r="AX28" i="2"/>
  <c r="BB679" i="2"/>
  <c r="AW687" i="2"/>
  <c r="AX678" i="2"/>
  <c r="BC678" i="2" s="1"/>
  <c r="AS686" i="2"/>
  <c r="AB126" i="5"/>
  <c r="AB38" i="5"/>
  <c r="AB43" i="5" s="1"/>
  <c r="AH94" i="5"/>
  <c r="AH44" i="5"/>
  <c r="AW252" i="2"/>
  <c r="AF107" i="5"/>
  <c r="AF108" i="5" s="1"/>
  <c r="BB80" i="2"/>
  <c r="BB7" i="2"/>
  <c r="BB63" i="2"/>
  <c r="BB55" i="2"/>
  <c r="BB56" i="2"/>
  <c r="I576" i="2"/>
  <c r="H577" i="2"/>
  <c r="E283" i="2"/>
  <c r="AP283" i="2"/>
  <c r="AP285" i="2" s="1"/>
  <c r="AP281" i="2"/>
  <c r="O281" i="2"/>
  <c r="O283" i="2"/>
  <c r="O285" i="2" s="1"/>
  <c r="R283" i="2"/>
  <c r="R285" i="2" s="1"/>
  <c r="R281" i="2"/>
  <c r="S412" i="2"/>
  <c r="S793" i="2"/>
  <c r="D48" i="5"/>
  <c r="D128" i="5" s="1"/>
  <c r="D323" i="2"/>
  <c r="D57" i="5" s="1"/>
  <c r="D279" i="2"/>
  <c r="AD108" i="5"/>
  <c r="AS108" i="5"/>
  <c r="AB800" i="2"/>
  <c r="AG800" i="2"/>
  <c r="L801" i="2"/>
  <c r="L412" i="2"/>
  <c r="L793" i="2"/>
  <c r="AG420" i="2"/>
  <c r="AG408" i="2"/>
  <c r="AG419" i="2"/>
  <c r="Q49" i="7"/>
  <c r="R42" i="7" s="1"/>
  <c r="Q50" i="7"/>
  <c r="M797" i="2"/>
  <c r="M275" i="2"/>
  <c r="M276" i="2"/>
  <c r="R275" i="2"/>
  <c r="AL104" i="5"/>
  <c r="X797" i="2"/>
  <c r="X275" i="2"/>
  <c r="X276" i="2"/>
  <c r="X277" i="2" s="1"/>
  <c r="AD283" i="2"/>
  <c r="AD285" i="2" s="1"/>
  <c r="AD281" i="2"/>
  <c r="AA281" i="2"/>
  <c r="AA283" i="2"/>
  <c r="AA285" i="2" s="1"/>
  <c r="AF47" i="5"/>
  <c r="AF465" i="2"/>
  <c r="AF329" i="2"/>
  <c r="F107" i="5"/>
  <c r="F108" i="5" s="1"/>
  <c r="F98" i="5"/>
  <c r="AU69" i="5"/>
  <c r="AU664" i="2"/>
  <c r="BB81" i="2"/>
  <c r="BB59" i="2"/>
  <c r="BB8" i="2"/>
  <c r="BB58" i="2"/>
  <c r="Q797" i="2"/>
  <c r="Q275" i="2"/>
  <c r="Q276" i="2"/>
  <c r="V275" i="2"/>
  <c r="N126" i="5"/>
  <c r="N38" i="5"/>
  <c r="N43" i="5" s="1"/>
  <c r="R801" i="2"/>
  <c r="R412" i="2"/>
  <c r="R793" i="2"/>
  <c r="Z7" i="7"/>
  <c r="Z13" i="7" s="1"/>
  <c r="V7" i="7"/>
  <c r="V13" i="7" s="1"/>
  <c r="W7" i="7" s="1"/>
  <c r="W13" i="7" s="1"/>
  <c r="X7" i="7" s="1"/>
  <c r="X13" i="7" s="1"/>
  <c r="Y7" i="7" s="1"/>
  <c r="Y13" i="7" s="1"/>
  <c r="M107" i="5"/>
  <c r="M108" i="5" s="1"/>
  <c r="J797" i="2"/>
  <c r="J276" i="2"/>
  <c r="O277" i="2" s="1"/>
  <c r="O275" i="2"/>
  <c r="AJ146" i="2"/>
  <c r="AJ109" i="2"/>
  <c r="AL797" i="2"/>
  <c r="AL276" i="2"/>
  <c r="AL277" i="2" s="1"/>
  <c r="AL275" i="2"/>
  <c r="X27" i="2"/>
  <c r="X28" i="2"/>
  <c r="G801" i="2"/>
  <c r="G412" i="2"/>
  <c r="G130" i="5" s="1"/>
  <c r="G793" i="2"/>
  <c r="U48" i="5"/>
  <c r="U128" i="5" s="1"/>
  <c r="U323" i="2"/>
  <c r="U57" i="5" s="1"/>
  <c r="U279" i="2"/>
  <c r="AZ729" i="2"/>
  <c r="BA203" i="2"/>
  <c r="BA205" i="2" s="1"/>
  <c r="AZ206" i="2"/>
  <c r="AZ43" i="2"/>
  <c r="AF797" i="2"/>
  <c r="AF276" i="2"/>
  <c r="AF277" i="2" s="1"/>
  <c r="AF275" i="2"/>
  <c r="AW281" i="2"/>
  <c r="AW283" i="2"/>
  <c r="AW285" i="2" s="1"/>
  <c r="BC27" i="5"/>
  <c r="BC114" i="2"/>
  <c r="BC26" i="2"/>
  <c r="AN686" i="2"/>
  <c r="BA677" i="2"/>
  <c r="AV685" i="2"/>
  <c r="AS684" i="2"/>
  <c r="AX676" i="2"/>
  <c r="BC676" i="2" s="1"/>
  <c r="BC164" i="2"/>
  <c r="AQ28" i="2"/>
  <c r="N797" i="2"/>
  <c r="N276" i="2"/>
  <c r="N277" i="2" s="1"/>
  <c r="N275" i="2"/>
  <c r="W797" i="2"/>
  <c r="W275" i="2"/>
  <c r="W276" i="2"/>
  <c r="W277" i="2" s="1"/>
  <c r="N420" i="2"/>
  <c r="N408" i="2"/>
  <c r="O801" i="2" s="1"/>
  <c r="N419" i="2"/>
  <c r="AL356" i="2"/>
  <c r="AL358" i="2"/>
  <c r="BB678" i="2"/>
  <c r="AW686" i="2"/>
  <c r="U397" i="2"/>
  <c r="U328" i="2"/>
  <c r="U58" i="5" s="1"/>
  <c r="AW107" i="5"/>
  <c r="AG397" i="2"/>
  <c r="AG328" i="2"/>
  <c r="AG58" i="5" s="1"/>
  <c r="AK261" i="2"/>
  <c r="AP261" i="2"/>
  <c r="U49" i="7"/>
  <c r="U50" i="7"/>
  <c r="S797" i="2"/>
  <c r="S276" i="2"/>
  <c r="S275" i="2"/>
  <c r="AN115" i="5"/>
  <c r="AI76" i="5"/>
  <c r="AI78" i="5" s="1"/>
  <c r="AI66" i="5"/>
  <c r="AI73" i="5" s="1"/>
  <c r="AI131" i="5" s="1"/>
  <c r="AJ283" i="2"/>
  <c r="AJ285" i="2" s="1"/>
  <c r="AJ281" i="2"/>
  <c r="AA114" i="5"/>
  <c r="V86" i="5"/>
  <c r="V83" i="5" s="1"/>
  <c r="V75" i="5"/>
  <c r="V64" i="5"/>
  <c r="V114" i="5"/>
  <c r="AM261" i="2"/>
  <c r="AR261" i="2"/>
  <c r="AU62" i="5"/>
  <c r="AU433" i="2"/>
  <c r="AU446" i="2"/>
  <c r="AU447" i="2" s="1"/>
  <c r="AU448" i="2" s="1"/>
  <c r="AU449" i="2" s="1"/>
  <c r="AT130" i="5"/>
  <c r="AT94" i="5"/>
  <c r="AT95" i="5" s="1"/>
  <c r="AT44" i="5"/>
  <c r="E801" i="2"/>
  <c r="E412" i="2"/>
  <c r="E793" i="2"/>
  <c r="T797" i="2"/>
  <c r="T276" i="2"/>
  <c r="T277" i="2" s="1"/>
  <c r="T275" i="2"/>
  <c r="Y86" i="5"/>
  <c r="Y83" i="5" s="1"/>
  <c r="AO27" i="5"/>
  <c r="AO26" i="2"/>
  <c r="AO164" i="2"/>
  <c r="Q801" i="2"/>
  <c r="Q412" i="2"/>
  <c r="Q130" i="5" s="1"/>
  <c r="Q793" i="2"/>
  <c r="AP47" i="5"/>
  <c r="AP465" i="2"/>
  <c r="AP329" i="2"/>
  <c r="AZ485" i="2"/>
  <c r="AZ4" i="5"/>
  <c r="AY485" i="2"/>
  <c r="AY4" i="5"/>
  <c r="AX485" i="2"/>
  <c r="AX4" i="5"/>
  <c r="BG485" i="2"/>
  <c r="BA4" i="5"/>
  <c r="BG4" i="5"/>
  <c r="BF485" i="2"/>
  <c r="B3" i="7"/>
  <c r="BE485" i="2"/>
  <c r="BF4" i="5"/>
  <c r="BD485" i="2"/>
  <c r="BE4" i="5"/>
  <c r="BC485" i="2"/>
  <c r="BD4" i="5"/>
  <c r="BB485" i="2"/>
  <c r="BC4" i="5"/>
  <c r="BA485" i="2"/>
  <c r="BB4" i="5"/>
  <c r="G47" i="5"/>
  <c r="G465" i="2"/>
  <c r="G329" i="2"/>
  <c r="AG108" i="5"/>
  <c r="U420" i="2"/>
  <c r="U408" i="2"/>
  <c r="U419" i="2"/>
  <c r="H47" i="5"/>
  <c r="H465" i="2"/>
  <c r="H329" i="2"/>
  <c r="F483" i="2"/>
  <c r="F485" i="2" s="1"/>
  <c r="F470" i="2" s="1"/>
  <c r="F4" i="5"/>
  <c r="N356" i="2"/>
  <c r="N358" i="2"/>
  <c r="AS689" i="2"/>
  <c r="AX681" i="2"/>
  <c r="BC681" i="2" s="1"/>
  <c r="AT47" i="5"/>
  <c r="AT465" i="2"/>
  <c r="AT329" i="2"/>
  <c r="AX316" i="2"/>
  <c r="BC218" i="2"/>
  <c r="BC316" i="2" s="1"/>
  <c r="AR108" i="5"/>
  <c r="AQ27" i="2"/>
  <c r="E470" i="2"/>
  <c r="AT801" i="2"/>
  <c r="AT412" i="2"/>
  <c r="AT793" i="2"/>
  <c r="AV130" i="5"/>
  <c r="AV94" i="5"/>
  <c r="AV44" i="5"/>
  <c r="AS76" i="5"/>
  <c r="AS78" i="5" s="1"/>
  <c r="AS66" i="5"/>
  <c r="AS73" i="5" s="1"/>
  <c r="AS131" i="5" s="1"/>
  <c r="E356" i="2"/>
  <c r="E358" i="2"/>
  <c r="BC135" i="2"/>
  <c r="BC99" i="2"/>
  <c r="BC92" i="2"/>
  <c r="BC54" i="2"/>
  <c r="BC14" i="2"/>
  <c r="AR800" i="2"/>
  <c r="H865" i="2"/>
  <c r="H858" i="2"/>
  <c r="H872" i="2"/>
  <c r="G865" i="2"/>
  <c r="G858" i="2"/>
  <c r="G872" i="2"/>
  <c r="AY27" i="5" l="1"/>
  <c r="AY115" i="2"/>
  <c r="AY26" i="2"/>
  <c r="AY28" i="2" s="1"/>
  <c r="BC7" i="2"/>
  <c r="BC63" i="2"/>
  <c r="BC80" i="2"/>
  <c r="BC55" i="2"/>
  <c r="BC56" i="2"/>
  <c r="BD54" i="2"/>
  <c r="AT127" i="5"/>
  <c r="AT85" i="5"/>
  <c r="AT82" i="5" s="1"/>
  <c r="AT59" i="5"/>
  <c r="U808" i="2"/>
  <c r="U801" i="2"/>
  <c r="U412" i="2"/>
  <c r="U793" i="2"/>
  <c r="R417" i="2"/>
  <c r="R414" i="2"/>
  <c r="R423" i="2" s="1"/>
  <c r="R422" i="2"/>
  <c r="R794" i="2"/>
  <c r="AU800" i="2"/>
  <c r="AV800" i="2"/>
  <c r="AU667" i="2"/>
  <c r="AG801" i="2"/>
  <c r="AG412" i="2"/>
  <c r="AG793" i="2"/>
  <c r="J576" i="2"/>
  <c r="I577" i="2"/>
  <c r="AB94" i="5"/>
  <c r="AB95" i="5" s="1"/>
  <c r="AB44" i="5"/>
  <c r="AQ801" i="2"/>
  <c r="AD417" i="2"/>
  <c r="AD414" i="2"/>
  <c r="AD423" i="2" s="1"/>
  <c r="AD422" i="2"/>
  <c r="AD794" i="2"/>
  <c r="AD130" i="5"/>
  <c r="AZ27" i="2"/>
  <c r="AZ28" i="2"/>
  <c r="P281" i="2"/>
  <c r="P283" i="2"/>
  <c r="Y285" i="2"/>
  <c r="X794" i="2"/>
  <c r="X361" i="2"/>
  <c r="X368" i="2" s="1"/>
  <c r="BA25" i="5"/>
  <c r="BA11" i="2"/>
  <c r="BA12" i="2"/>
  <c r="AK803" i="2"/>
  <c r="AL666" i="2"/>
  <c r="AL667" i="2" s="1"/>
  <c r="AK672" i="2"/>
  <c r="AF794" i="2"/>
  <c r="AF361" i="2"/>
  <c r="AF368" i="2" s="1"/>
  <c r="U94" i="5"/>
  <c r="U95" i="5" s="1"/>
  <c r="U102" i="5" s="1"/>
  <c r="U130" i="5"/>
  <c r="U44" i="5"/>
  <c r="K808" i="2"/>
  <c r="K801" i="2"/>
  <c r="K412" i="2"/>
  <c r="K793" i="2"/>
  <c r="O50" i="7"/>
  <c r="O49" i="7"/>
  <c r="S414" i="2"/>
  <c r="S423" i="2" s="1"/>
  <c r="S422" i="2"/>
  <c r="S417" i="2"/>
  <c r="BE729" i="2"/>
  <c r="BF203" i="2"/>
  <c r="BF205" i="2" s="1"/>
  <c r="BE206" i="2"/>
  <c r="BE43" i="2"/>
  <c r="AU94" i="5"/>
  <c r="AU44" i="5"/>
  <c r="G871" i="2"/>
  <c r="G862" i="2"/>
  <c r="G860" i="2" s="1"/>
  <c r="G482" i="2" s="1"/>
  <c r="G857" i="2"/>
  <c r="G869" i="2"/>
  <c r="G867" i="2" s="1"/>
  <c r="G864" i="2"/>
  <c r="G855" i="2"/>
  <c r="G853" i="2" s="1"/>
  <c r="G481" i="2" s="1"/>
  <c r="G876" i="2"/>
  <c r="G874" i="2" s="1"/>
  <c r="G484" i="2" s="1"/>
  <c r="G878" i="2"/>
  <c r="P47" i="5"/>
  <c r="P465" i="2"/>
  <c r="P329" i="2"/>
  <c r="P466" i="2"/>
  <c r="AI48" i="5"/>
  <c r="AI128" i="5" s="1"/>
  <c r="AI323" i="2"/>
  <c r="AI57" i="5" s="1"/>
  <c r="AI279" i="2"/>
  <c r="AL801" i="2"/>
  <c r="AL412" i="2"/>
  <c r="AL793" i="2"/>
  <c r="E122" i="5"/>
  <c r="E10" i="5"/>
  <c r="F112" i="5"/>
  <c r="E127" i="5"/>
  <c r="E85" i="5"/>
  <c r="E82" i="5" s="1"/>
  <c r="E59" i="5"/>
  <c r="I47" i="5"/>
  <c r="I465" i="2"/>
  <c r="I329" i="2"/>
  <c r="AW127" i="5"/>
  <c r="AW59" i="5"/>
  <c r="AI356" i="2"/>
  <c r="AI358" i="2"/>
  <c r="AB801" i="2"/>
  <c r="AB412" i="2"/>
  <c r="AB793" i="2"/>
  <c r="O115" i="5"/>
  <c r="J76" i="5"/>
  <c r="J78" i="5" s="1"/>
  <c r="J66" i="5"/>
  <c r="J73" i="5" s="1"/>
  <c r="J131" i="5" s="1"/>
  <c r="AF95" i="5"/>
  <c r="C794" i="2"/>
  <c r="C361" i="2"/>
  <c r="C368" i="2" s="1"/>
  <c r="AK422" i="2"/>
  <c r="AK417" i="2"/>
  <c r="AK414" i="2"/>
  <c r="AK423" i="2" s="1"/>
  <c r="M127" i="5"/>
  <c r="R112" i="5"/>
  <c r="M59" i="5"/>
  <c r="V112" i="5"/>
  <c r="Q127" i="5"/>
  <c r="Q59" i="5"/>
  <c r="AS126" i="5"/>
  <c r="AS38" i="5"/>
  <c r="AS43" i="5" s="1"/>
  <c r="BD26" i="5"/>
  <c r="BD101" i="2"/>
  <c r="BD17" i="2"/>
  <c r="BD19" i="2" s="1"/>
  <c r="BC26" i="5"/>
  <c r="BC101" i="2"/>
  <c r="BC100" i="2"/>
  <c r="BC70" i="2"/>
  <c r="BC17" i="2"/>
  <c r="AT422" i="2"/>
  <c r="AT417" i="2"/>
  <c r="AT414" i="2"/>
  <c r="AT423" i="2" s="1"/>
  <c r="AT794" i="2"/>
  <c r="AU86" i="5"/>
  <c r="AU83" i="5" s="1"/>
  <c r="AU75" i="5"/>
  <c r="AU64" i="5"/>
  <c r="AV86" i="5"/>
  <c r="AV83" i="5" s="1"/>
  <c r="AW86" i="5"/>
  <c r="AW83" i="5" s="1"/>
  <c r="AZ207" i="2"/>
  <c r="AZ211" i="2"/>
  <c r="AJ113" i="2"/>
  <c r="AJ20" i="2"/>
  <c r="AO22" i="2" s="1"/>
  <c r="AO111" i="2"/>
  <c r="N94" i="5"/>
  <c r="N95" i="5" s="1"/>
  <c r="N44" i="5"/>
  <c r="S801" i="2"/>
  <c r="AE98" i="5"/>
  <c r="AE102" i="5"/>
  <c r="F417" i="2"/>
  <c r="F414" i="2"/>
  <c r="F423" i="2" s="1"/>
  <c r="F422" i="2"/>
  <c r="F794" i="2"/>
  <c r="AN356" i="2"/>
  <c r="AN358" i="2"/>
  <c r="AI420" i="2"/>
  <c r="AI408" i="2"/>
  <c r="AI419" i="2"/>
  <c r="AL130" i="5"/>
  <c r="AL94" i="5"/>
  <c r="AL44" i="5"/>
  <c r="F285" i="2"/>
  <c r="AE277" i="2"/>
  <c r="AJ277" i="2"/>
  <c r="AN281" i="2"/>
  <c r="AN283" i="2"/>
  <c r="I801" i="2"/>
  <c r="I412" i="2"/>
  <c r="I793" i="2"/>
  <c r="AI797" i="2"/>
  <c r="AI275" i="2"/>
  <c r="AI276" i="2"/>
  <c r="AI277" i="2" s="1"/>
  <c r="BA28" i="2"/>
  <c r="BB27" i="2"/>
  <c r="BA27" i="2"/>
  <c r="BB18" i="2"/>
  <c r="BB19" i="2"/>
  <c r="AO285" i="2"/>
  <c r="AK801" i="2"/>
  <c r="AA422" i="2"/>
  <c r="AA417" i="2"/>
  <c r="AA414" i="2"/>
  <c r="AA423" i="2" s="1"/>
  <c r="AA794" i="2"/>
  <c r="BB142" i="2"/>
  <c r="AG94" i="5"/>
  <c r="AG95" i="5" s="1"/>
  <c r="AG130" i="5"/>
  <c r="AG44" i="5"/>
  <c r="C422" i="2"/>
  <c r="C417" i="2"/>
  <c r="C414" i="2"/>
  <c r="C423" i="2" s="1"/>
  <c r="J2" i="5"/>
  <c r="J5" i="7"/>
  <c r="M794" i="2"/>
  <c r="M361" i="2"/>
  <c r="M368" i="2" s="1"/>
  <c r="BC140" i="2"/>
  <c r="BC142" i="2" s="1"/>
  <c r="BC109" i="2" s="1"/>
  <c r="BC138" i="2"/>
  <c r="BC27" i="2"/>
  <c r="BC28" i="2"/>
  <c r="BA729" i="2"/>
  <c r="BA206" i="2"/>
  <c r="BB203" i="2"/>
  <c r="BB205" i="2" s="1"/>
  <c r="BA43" i="2"/>
  <c r="L422" i="2"/>
  <c r="L417" i="2"/>
  <c r="L414" i="2"/>
  <c r="L423" i="2" s="1"/>
  <c r="BB65" i="2"/>
  <c r="BB10" i="2"/>
  <c r="BB64" i="2"/>
  <c r="AJ112" i="5"/>
  <c r="AE127" i="5"/>
  <c r="AE85" i="5"/>
  <c r="AE82" i="5" s="1"/>
  <c r="AE59" i="5"/>
  <c r="AF112" i="5"/>
  <c r="AA127" i="5"/>
  <c r="AA59" i="5"/>
  <c r="AI397" i="2"/>
  <c r="AI328" i="2"/>
  <c r="AI58" i="5" s="1"/>
  <c r="AN412" i="2"/>
  <c r="AN801" i="2"/>
  <c r="AN793" i="2"/>
  <c r="AB47" i="5"/>
  <c r="AB465" i="2"/>
  <c r="AB329" i="2"/>
  <c r="AC95" i="5"/>
  <c r="AV112" i="5"/>
  <c r="AQ127" i="5"/>
  <c r="AQ85" i="5"/>
  <c r="AQ82" i="5" s="1"/>
  <c r="AQ59" i="5"/>
  <c r="G794" i="2"/>
  <c r="G361" i="2"/>
  <c r="G368" i="2" s="1"/>
  <c r="AV422" i="2"/>
  <c r="AV417" i="2"/>
  <c r="AV414" i="2"/>
  <c r="AV423" i="2" s="1"/>
  <c r="AV794" i="2"/>
  <c r="BB70" i="2"/>
  <c r="P361" i="2"/>
  <c r="P368" i="2" s="1"/>
  <c r="P806" i="2" s="1"/>
  <c r="AA801" i="2"/>
  <c r="AC277" i="2"/>
  <c r="AH277" i="2"/>
  <c r="W281" i="2"/>
  <c r="W283" i="2"/>
  <c r="W285" i="2" s="1"/>
  <c r="AH803" i="2"/>
  <c r="AH672" i="2"/>
  <c r="AI666" i="2"/>
  <c r="AI667" i="2" s="1"/>
  <c r="I4" i="7"/>
  <c r="AF27" i="2"/>
  <c r="AK28" i="2"/>
  <c r="AG27" i="2"/>
  <c r="AU281" i="2"/>
  <c r="AU283" i="2"/>
  <c r="AU285" i="2" s="1"/>
  <c r="BE104" i="2"/>
  <c r="BE135" i="2"/>
  <c r="BF90" i="2"/>
  <c r="BE99" i="2"/>
  <c r="BE14" i="2"/>
  <c r="BE54" i="2"/>
  <c r="BC104" i="2"/>
  <c r="N794" i="2"/>
  <c r="N361" i="2"/>
  <c r="N368" i="2" s="1"/>
  <c r="S277" i="2"/>
  <c r="U47" i="5"/>
  <c r="U465" i="2"/>
  <c r="U329" i="2"/>
  <c r="U466" i="2"/>
  <c r="AO112" i="5"/>
  <c r="AJ127" i="5"/>
  <c r="AJ85" i="5"/>
  <c r="AJ82" i="5" s="1"/>
  <c r="AJ59" i="5"/>
  <c r="S98" i="5"/>
  <c r="S102" i="5"/>
  <c r="Y127" i="5"/>
  <c r="AD112" i="5"/>
  <c r="Y59" i="5"/>
  <c r="AC794" i="2"/>
  <c r="AC361" i="2"/>
  <c r="AC368" i="2" s="1"/>
  <c r="AI104" i="5"/>
  <c r="AI108" i="5" s="1"/>
  <c r="AK104" i="5"/>
  <c r="AK108" i="5" s="1"/>
  <c r="AM104" i="5"/>
  <c r="AM108" i="5" s="1"/>
  <c r="H794" i="2"/>
  <c r="H361" i="2"/>
  <c r="H368" i="2" s="1"/>
  <c r="Q115" i="5"/>
  <c r="L66" i="5"/>
  <c r="L73" i="5" s="1"/>
  <c r="L131" i="5" s="1"/>
  <c r="L76" i="5"/>
  <c r="L78" i="5" s="1"/>
  <c r="L115" i="5"/>
  <c r="V2" i="5"/>
  <c r="V5" i="7"/>
  <c r="W5" i="2"/>
  <c r="AQ277" i="2"/>
  <c r="AV277" i="2"/>
  <c r="AW794" i="2"/>
  <c r="AW361" i="2"/>
  <c r="AW368" i="2" s="1"/>
  <c r="AW375" i="2"/>
  <c r="AW378" i="2" s="1"/>
  <c r="Z281" i="2"/>
  <c r="Z283" i="2"/>
  <c r="AE285" i="2" s="1"/>
  <c r="S794" i="2"/>
  <c r="S361" i="2"/>
  <c r="S368" i="2" s="1"/>
  <c r="BD777" i="2"/>
  <c r="BE766" i="2"/>
  <c r="BD490" i="2"/>
  <c r="BD9" i="5" s="1"/>
  <c r="AB281" i="2"/>
  <c r="AB283" i="2"/>
  <c r="AB285" i="2" s="1"/>
  <c r="AU104" i="5"/>
  <c r="AU108" i="5" s="1"/>
  <c r="AP417" i="2"/>
  <c r="AP414" i="2"/>
  <c r="AP423" i="2" s="1"/>
  <c r="AP422" i="2"/>
  <c r="AP794" i="2"/>
  <c r="D94" i="5"/>
  <c r="D95" i="5" s="1"/>
  <c r="D44" i="5"/>
  <c r="X108" i="5"/>
  <c r="BD138" i="2"/>
  <c r="E471" i="2"/>
  <c r="E477" i="2"/>
  <c r="F6" i="5"/>
  <c r="F121" i="5"/>
  <c r="L112" i="5"/>
  <c r="G127" i="5"/>
  <c r="G59" i="5"/>
  <c r="AP127" i="5"/>
  <c r="AP59" i="5"/>
  <c r="U281" i="2"/>
  <c r="U283" i="2"/>
  <c r="U285" i="2" s="1"/>
  <c r="Q277" i="2"/>
  <c r="V277" i="2"/>
  <c r="AJ422" i="2"/>
  <c r="AJ417" i="2"/>
  <c r="AJ414" i="2"/>
  <c r="AJ423" i="2" s="1"/>
  <c r="S130" i="5"/>
  <c r="AB277" i="2"/>
  <c r="AG277" i="2"/>
  <c r="L794" i="2"/>
  <c r="L361" i="2"/>
  <c r="L368" i="2" s="1"/>
  <c r="AB794" i="2"/>
  <c r="AB361" i="2"/>
  <c r="AB368" i="2" s="1"/>
  <c r="AN797" i="2"/>
  <c r="AN275" i="2"/>
  <c r="AN276" i="2"/>
  <c r="AN277" i="2" s="1"/>
  <c r="Z2" i="5"/>
  <c r="Z5" i="7"/>
  <c r="AA5" i="2"/>
  <c r="AE5" i="2"/>
  <c r="T414" i="2"/>
  <c r="T423" i="2" s="1"/>
  <c r="T422" i="2"/>
  <c r="T417" i="2"/>
  <c r="L277" i="2"/>
  <c r="J94" i="5"/>
  <c r="J44" i="5"/>
  <c r="AP801" i="2"/>
  <c r="AV127" i="5"/>
  <c r="AV59" i="5"/>
  <c r="D277" i="2"/>
  <c r="M422" i="2"/>
  <c r="M417" i="2"/>
  <c r="M414" i="2"/>
  <c r="M423" i="2" s="1"/>
  <c r="AT112" i="5"/>
  <c r="AO127" i="5"/>
  <c r="AO85" i="5"/>
  <c r="AO82" i="5" s="1"/>
  <c r="AO59" i="5"/>
  <c r="V422" i="2"/>
  <c r="V417" i="2"/>
  <c r="V414" i="2"/>
  <c r="V423" i="2" s="1"/>
  <c r="V794" i="2"/>
  <c r="AU412" i="2"/>
  <c r="AU130" i="5" s="1"/>
  <c r="AU793" i="2"/>
  <c r="K281" i="2"/>
  <c r="K283" i="2"/>
  <c r="K285" i="2" s="1"/>
  <c r="BD104" i="2"/>
  <c r="BD107" i="2" s="1"/>
  <c r="E794" i="2"/>
  <c r="E361" i="2"/>
  <c r="E368" i="2" s="1"/>
  <c r="F477" i="2"/>
  <c r="F471" i="2"/>
  <c r="AA115" i="5"/>
  <c r="V76" i="5"/>
  <c r="V78" i="5" s="1"/>
  <c r="V66" i="5"/>
  <c r="V73" i="5" s="1"/>
  <c r="V131" i="5" s="1"/>
  <c r="V115" i="5"/>
  <c r="AJ102" i="5"/>
  <c r="M277" i="2"/>
  <c r="R277" i="2"/>
  <c r="AU115" i="5"/>
  <c r="AP66" i="5"/>
  <c r="AP73" i="5" s="1"/>
  <c r="AP131" i="5" s="1"/>
  <c r="AP76" i="5"/>
  <c r="AP78" i="5" s="1"/>
  <c r="AP115" i="5"/>
  <c r="AF285" i="2"/>
  <c r="W361" i="2"/>
  <c r="W368" i="2" s="1"/>
  <c r="AW112" i="5"/>
  <c r="AR127" i="5"/>
  <c r="AR59" i="5"/>
  <c r="AL47" i="5"/>
  <c r="AL465" i="2"/>
  <c r="AL329" i="2"/>
  <c r="Y95" i="5"/>
  <c r="AX227" i="2"/>
  <c r="AX215" i="2"/>
  <c r="AX16" i="5" s="1"/>
  <c r="AX217" i="2"/>
  <c r="AX45" i="2"/>
  <c r="AR112" i="5"/>
  <c r="AM127" i="5"/>
  <c r="AM59" i="5"/>
  <c r="AK127" i="5"/>
  <c r="AP112" i="5"/>
  <c r="AK59" i="5"/>
  <c r="T801" i="2"/>
  <c r="AU361" i="2"/>
  <c r="AU368" i="2" s="1"/>
  <c r="AU375" i="2"/>
  <c r="AU378" i="2" s="1"/>
  <c r="AM422" i="2"/>
  <c r="AM417" i="2"/>
  <c r="AM414" i="2"/>
  <c r="AM423" i="2" s="1"/>
  <c r="AO277" i="2"/>
  <c r="AT277" i="2"/>
  <c r="AK285" i="2"/>
  <c r="AY124" i="2"/>
  <c r="AY117" i="2"/>
  <c r="AS261" i="2"/>
  <c r="Z361" i="2"/>
  <c r="Z368" i="2" s="1"/>
  <c r="Z806" i="2" s="1"/>
  <c r="Z47" i="5"/>
  <c r="Z465" i="2"/>
  <c r="Z329" i="2"/>
  <c r="Z466" i="2"/>
  <c r="AI126" i="5"/>
  <c r="AI38" i="5"/>
  <c r="AI43" i="5" s="1"/>
  <c r="F130" i="5"/>
  <c r="W801" i="2"/>
  <c r="W412" i="2"/>
  <c r="W794" i="2" s="1"/>
  <c r="W793" i="2"/>
  <c r="M801" i="2"/>
  <c r="V801" i="2"/>
  <c r="D477" i="2"/>
  <c r="D471" i="2"/>
  <c r="H414" i="2"/>
  <c r="H423" i="2" s="1"/>
  <c r="H422" i="2"/>
  <c r="H417" i="2"/>
  <c r="Y422" i="2"/>
  <c r="Y417" i="2"/>
  <c r="Y414" i="2"/>
  <c r="Y423" i="2" s="1"/>
  <c r="D6" i="5"/>
  <c r="D121" i="5"/>
  <c r="Q422" i="2"/>
  <c r="Q417" i="2"/>
  <c r="Q414" i="2"/>
  <c r="Q423" i="2" s="1"/>
  <c r="E422" i="2"/>
  <c r="E417" i="2"/>
  <c r="E414" i="2"/>
  <c r="E423" i="2" s="1"/>
  <c r="V42" i="7"/>
  <c r="Z42" i="7"/>
  <c r="AK112" i="5"/>
  <c r="AF127" i="5"/>
  <c r="AF85" i="5"/>
  <c r="AF82" i="5" s="1"/>
  <c r="AF59" i="5"/>
  <c r="AE414" i="2"/>
  <c r="AE423" i="2" s="1"/>
  <c r="AE422" i="2"/>
  <c r="AE417" i="2"/>
  <c r="BE136" i="2"/>
  <c r="BE141" i="2" s="1"/>
  <c r="BE105" i="2"/>
  <c r="BE15" i="2"/>
  <c r="BF93" i="2"/>
  <c r="BE57" i="2"/>
  <c r="AJ808" i="2"/>
  <c r="R127" i="5"/>
  <c r="R59" i="5"/>
  <c r="AJ794" i="2"/>
  <c r="AA112" i="5"/>
  <c r="V127" i="5"/>
  <c r="V85" i="5"/>
  <c r="V82" i="5" s="1"/>
  <c r="V59" i="5"/>
  <c r="AM277" i="2"/>
  <c r="AR277" i="2"/>
  <c r="AN47" i="5"/>
  <c r="AR85" i="5" s="1"/>
  <c r="AR82" i="5" s="1"/>
  <c r="AN465" i="2"/>
  <c r="AN329" i="2"/>
  <c r="AC422" i="2"/>
  <c r="AC417" i="2"/>
  <c r="AC414" i="2"/>
  <c r="AC423" i="2" s="1"/>
  <c r="E102" i="5"/>
  <c r="E98" i="5"/>
  <c r="AF414" i="2"/>
  <c r="AF423" i="2" s="1"/>
  <c r="AF422" i="2"/>
  <c r="AF417" i="2"/>
  <c r="L130" i="5"/>
  <c r="G10" i="2"/>
  <c r="L65" i="2"/>
  <c r="G70" i="2"/>
  <c r="AD127" i="5"/>
  <c r="AD85" i="5"/>
  <c r="AD82" i="5" s="1"/>
  <c r="AD59" i="5"/>
  <c r="AS356" i="2"/>
  <c r="AS358" i="2"/>
  <c r="AM801" i="2"/>
  <c r="AS797" i="2"/>
  <c r="AS276" i="2"/>
  <c r="AS277" i="2" s="1"/>
  <c r="AS275" i="2"/>
  <c r="K794" i="2"/>
  <c r="K361" i="2"/>
  <c r="K368" i="2" s="1"/>
  <c r="AR285" i="2"/>
  <c r="BC81" i="2"/>
  <c r="BC59" i="2"/>
  <c r="BC8" i="2"/>
  <c r="BC58" i="2"/>
  <c r="BD57" i="2"/>
  <c r="P130" i="5"/>
  <c r="P94" i="5"/>
  <c r="P95" i="5" s="1"/>
  <c r="P102" i="5" s="1"/>
  <c r="P44" i="5"/>
  <c r="AY125" i="2"/>
  <c r="H801" i="2"/>
  <c r="AL794" i="2"/>
  <c r="AL375" i="2"/>
  <c r="AL378" i="2" s="1"/>
  <c r="AL361" i="2"/>
  <c r="AL368" i="2" s="1"/>
  <c r="BF767" i="2"/>
  <c r="BG454" i="2"/>
  <c r="BG767" i="2" s="1"/>
  <c r="W115" i="5"/>
  <c r="R66" i="5"/>
  <c r="R73" i="5" s="1"/>
  <c r="R131" i="5" s="1"/>
  <c r="R76" i="5"/>
  <c r="R78" i="5" s="1"/>
  <c r="R115" i="5"/>
  <c r="R130" i="5"/>
  <c r="O422" i="2"/>
  <c r="O417" i="2"/>
  <c r="O414" i="2"/>
  <c r="O423" i="2" s="1"/>
  <c r="O794" i="2"/>
  <c r="E130" i="5"/>
  <c r="AF801" i="2"/>
  <c r="AO794" i="2"/>
  <c r="AO375" i="2"/>
  <c r="AO378" i="2" s="1"/>
  <c r="AO361" i="2"/>
  <c r="AO368" i="2" s="1"/>
  <c r="T102" i="5"/>
  <c r="AY212" i="2"/>
  <c r="AY209" i="2"/>
  <c r="AY214" i="2"/>
  <c r="Y277" i="2"/>
  <c r="AD277" i="2"/>
  <c r="AS48" i="5"/>
  <c r="AS128" i="5" s="1"/>
  <c r="AS323" i="2"/>
  <c r="AS57" i="5" s="1"/>
  <c r="AS279" i="2"/>
  <c r="X422" i="2"/>
  <c r="X417" i="2"/>
  <c r="X414" i="2"/>
  <c r="X423" i="2" s="1"/>
  <c r="J412" i="2"/>
  <c r="J801" i="2"/>
  <c r="J793" i="2"/>
  <c r="K47" i="5"/>
  <c r="K112" i="5" s="1"/>
  <c r="K465" i="2"/>
  <c r="K329" i="2"/>
  <c r="AX241" i="2"/>
  <c r="AX235" i="2" s="1"/>
  <c r="AY129" i="2"/>
  <c r="AY130" i="2" s="1"/>
  <c r="J361" i="2"/>
  <c r="J368" i="2" s="1"/>
  <c r="J794" i="2"/>
  <c r="O95" i="5"/>
  <c r="BA8" i="5"/>
  <c r="BA796" i="2"/>
  <c r="BA453" i="2"/>
  <c r="BA761" i="2" s="1"/>
  <c r="BB455" i="2"/>
  <c r="AC285" i="2"/>
  <c r="U107" i="5"/>
  <c r="U108" i="5" s="1"/>
  <c r="U98" i="5"/>
  <c r="M112" i="5"/>
  <c r="H127" i="5"/>
  <c r="H59" i="5"/>
  <c r="G414" i="2"/>
  <c r="G423" i="2" s="1"/>
  <c r="G422" i="2"/>
  <c r="G417" i="2"/>
  <c r="D283" i="2"/>
  <c r="D285" i="2" s="1"/>
  <c r="D281" i="2"/>
  <c r="E281" i="2"/>
  <c r="AR414" i="2"/>
  <c r="AR423" i="2" s="1"/>
  <c r="AR422" i="2"/>
  <c r="AR417" i="2"/>
  <c r="AR794" i="2"/>
  <c r="AU114" i="5"/>
  <c r="AL281" i="2"/>
  <c r="AL283" i="2"/>
  <c r="T285" i="2"/>
  <c r="AH422" i="2"/>
  <c r="AH417" i="2"/>
  <c r="AH414" i="2"/>
  <c r="AH423" i="2" s="1"/>
  <c r="AH794" i="2"/>
  <c r="AH112" i="5"/>
  <c r="AC127" i="5"/>
  <c r="AC85" i="5"/>
  <c r="AC82" i="5" s="1"/>
  <c r="AC59" i="5"/>
  <c r="I877" i="2"/>
  <c r="I1" i="5"/>
  <c r="I851" i="2"/>
  <c r="I878" i="2" s="1"/>
  <c r="I3" i="2"/>
  <c r="I3" i="7" s="1"/>
  <c r="J4" i="2"/>
  <c r="AM794" i="2"/>
  <c r="AM375" i="2"/>
  <c r="AM378" i="2" s="1"/>
  <c r="AM361" i="2"/>
  <c r="AM368" i="2" s="1"/>
  <c r="BA22" i="2"/>
  <c r="AY111" i="2"/>
  <c r="AY20" i="2"/>
  <c r="AY22" i="2" s="1"/>
  <c r="AO98" i="5"/>
  <c r="N2" i="5"/>
  <c r="N5" i="7"/>
  <c r="O5" i="2"/>
  <c r="Q112" i="5"/>
  <c r="L127" i="5"/>
  <c r="L85" i="5"/>
  <c r="L82" i="5" s="1"/>
  <c r="L59" i="5"/>
  <c r="AS420" i="2"/>
  <c r="AS408" i="2"/>
  <c r="AS419" i="2"/>
  <c r="X95" i="5"/>
  <c r="J47" i="5"/>
  <c r="J465" i="2"/>
  <c r="J329" i="2"/>
  <c r="T794" i="2"/>
  <c r="T361" i="2"/>
  <c r="T368" i="2" s="1"/>
  <c r="F127" i="5"/>
  <c r="F85" i="5"/>
  <c r="F82" i="5" s="1"/>
  <c r="F59" i="5"/>
  <c r="AU47" i="5"/>
  <c r="AU465" i="2"/>
  <c r="AU329" i="2"/>
  <c r="O130" i="5"/>
  <c r="AV285" i="2"/>
  <c r="AL108" i="5"/>
  <c r="D112" i="5"/>
  <c r="C85" i="5"/>
  <c r="C82" i="5" s="1"/>
  <c r="C59" i="5"/>
  <c r="P107" i="5"/>
  <c r="P108" i="5" s="1"/>
  <c r="P98" i="5"/>
  <c r="AQ803" i="2"/>
  <c r="AQ672" i="2"/>
  <c r="AR666" i="2"/>
  <c r="AR667" i="2" s="1"/>
  <c r="AT98" i="5"/>
  <c r="AT102" i="5"/>
  <c r="N801" i="2"/>
  <c r="N412" i="2"/>
  <c r="N793" i="2"/>
  <c r="AE7" i="7"/>
  <c r="AE13" i="7" s="1"/>
  <c r="AA7" i="7"/>
  <c r="AA13" i="7" s="1"/>
  <c r="AB7" i="7" s="1"/>
  <c r="AB13" i="7" s="1"/>
  <c r="AC7" i="7" s="1"/>
  <c r="AC13" i="7" s="1"/>
  <c r="AD7" i="7" s="1"/>
  <c r="AD13" i="7" s="1"/>
  <c r="R49" i="7"/>
  <c r="S42" i="7" s="1"/>
  <c r="R50" i="7"/>
  <c r="E285" i="2"/>
  <c r="AH130" i="5"/>
  <c r="AJ130" i="5"/>
  <c r="AC112" i="5"/>
  <c r="X127" i="5"/>
  <c r="X59" i="5"/>
  <c r="AN130" i="5"/>
  <c r="AN94" i="5"/>
  <c r="AN95" i="5" s="1"/>
  <c r="AN44" i="5"/>
  <c r="H54" i="2"/>
  <c r="E803" i="2"/>
  <c r="E672" i="2"/>
  <c r="F666" i="2"/>
  <c r="F667" i="2" s="1"/>
  <c r="P808" i="2"/>
  <c r="P801" i="2"/>
  <c r="P412" i="2"/>
  <c r="P793" i="2"/>
  <c r="W94" i="5"/>
  <c r="W95" i="5" s="1"/>
  <c r="W44" i="5"/>
  <c r="AS397" i="2"/>
  <c r="AS328" i="2"/>
  <c r="AS58" i="5" s="1"/>
  <c r="AW104" i="5"/>
  <c r="AW108" i="5" s="1"/>
  <c r="X130" i="5"/>
  <c r="V285" i="2"/>
  <c r="R2" i="5"/>
  <c r="R5" i="7"/>
  <c r="S5" i="2"/>
  <c r="Q794" i="2"/>
  <c r="Q361" i="2"/>
  <c r="Q368" i="2" s="1"/>
  <c r="U806" i="2" s="1"/>
  <c r="T112" i="5"/>
  <c r="O127" i="5"/>
  <c r="O59" i="5"/>
  <c r="AO422" i="2"/>
  <c r="AO417" i="2"/>
  <c r="AO414" i="2"/>
  <c r="AO423" i="2" s="1"/>
  <c r="AN672" i="2"/>
  <c r="AN803" i="2"/>
  <c r="AM112" i="5"/>
  <c r="AH127" i="5"/>
  <c r="AH59" i="5"/>
  <c r="BD63" i="5"/>
  <c r="BD710" i="2"/>
  <c r="L108" i="5"/>
  <c r="Y794" i="2"/>
  <c r="Y361" i="2"/>
  <c r="Y368" i="2" s="1"/>
  <c r="D47" i="5"/>
  <c r="D465" i="2"/>
  <c r="D329" i="2"/>
  <c r="D801" i="2"/>
  <c r="D412" i="2"/>
  <c r="D794" i="2" s="1"/>
  <c r="D793" i="2"/>
  <c r="K130" i="5"/>
  <c r="K94" i="5"/>
  <c r="K95" i="5" s="1"/>
  <c r="K44" i="5"/>
  <c r="N47" i="5"/>
  <c r="R85" i="5" s="1"/>
  <c r="R82" i="5" s="1"/>
  <c r="N465" i="2"/>
  <c r="N329" i="2"/>
  <c r="AH285" i="2"/>
  <c r="AG47" i="5"/>
  <c r="AH85" i="5" s="1"/>
  <c r="AH82" i="5" s="1"/>
  <c r="AG465" i="2"/>
  <c r="AG329" i="2"/>
  <c r="AH95" i="5"/>
  <c r="AQ414" i="2"/>
  <c r="AQ423" i="2" s="1"/>
  <c r="AQ422" i="2"/>
  <c r="AQ417" i="2"/>
  <c r="AR95" i="5"/>
  <c r="I94" i="5"/>
  <c r="L95" i="5" s="1"/>
  <c r="I130" i="5"/>
  <c r="I44" i="5"/>
  <c r="AG281" i="2"/>
  <c r="AG283" i="2"/>
  <c r="AG285" i="2" s="1"/>
  <c r="E277" i="2"/>
  <c r="F277" i="2"/>
  <c r="AD95" i="5"/>
  <c r="H871" i="2"/>
  <c r="H862" i="2"/>
  <c r="H860" i="2" s="1"/>
  <c r="H482" i="2" s="1"/>
  <c r="H857" i="2"/>
  <c r="H869" i="2"/>
  <c r="H867" i="2" s="1"/>
  <c r="H864" i="2"/>
  <c r="H855" i="2"/>
  <c r="H853" i="2" s="1"/>
  <c r="H481" i="2" s="1"/>
  <c r="X112" i="5"/>
  <c r="S127" i="5"/>
  <c r="S85" i="5"/>
  <c r="S82" i="5" s="1"/>
  <c r="S59" i="5"/>
  <c r="BA123" i="2"/>
  <c r="BA124" i="2" s="1"/>
  <c r="BA122" i="2"/>
  <c r="BA125" i="2"/>
  <c r="AW422" i="2"/>
  <c r="AW417" i="2"/>
  <c r="AW414" i="2"/>
  <c r="AW423" i="2" s="1"/>
  <c r="AW130" i="5"/>
  <c r="AN108" i="5"/>
  <c r="AK794" i="2"/>
  <c r="AK361" i="2"/>
  <c r="AK368" i="2" s="1"/>
  <c r="AK375" i="2"/>
  <c r="AK378" i="2" s="1"/>
  <c r="AZ111" i="2"/>
  <c r="AZ121" i="2"/>
  <c r="AZ110" i="2"/>
  <c r="AZ20" i="2"/>
  <c r="Y112" i="5"/>
  <c r="T127" i="5"/>
  <c r="T85" i="5"/>
  <c r="T82" i="5" s="1"/>
  <c r="T59" i="5"/>
  <c r="D361" i="2"/>
  <c r="D368" i="2" s="1"/>
  <c r="V95" i="5"/>
  <c r="AT28" i="2"/>
  <c r="W47" i="5"/>
  <c r="X85" i="5" s="1"/>
  <c r="X82" i="5" s="1"/>
  <c r="W465" i="2"/>
  <c r="W329" i="2"/>
  <c r="P277" i="2"/>
  <c r="U277" i="2"/>
  <c r="AK277" i="2"/>
  <c r="AP277" i="2"/>
  <c r="BC105" i="2"/>
  <c r="Z808" i="2"/>
  <c r="Z801" i="2"/>
  <c r="Z412" i="2"/>
  <c r="Z793" i="2"/>
  <c r="AX19" i="5"/>
  <c r="AY224" i="2"/>
  <c r="AE794" i="2"/>
  <c r="AE361" i="2"/>
  <c r="AE368" i="2" s="1"/>
  <c r="AE806" i="2" s="1"/>
  <c r="N281" i="2"/>
  <c r="N283" i="2"/>
  <c r="N285" i="2" s="1"/>
  <c r="AQ794" i="2"/>
  <c r="AQ375" i="2"/>
  <c r="AQ378" i="2" s="1"/>
  <c r="AQ361" i="2"/>
  <c r="AQ368" i="2" s="1"/>
  <c r="Z130" i="5"/>
  <c r="Z94" i="5"/>
  <c r="Z95" i="5" s="1"/>
  <c r="Z44" i="5"/>
  <c r="I865" i="2"/>
  <c r="I858" i="2"/>
  <c r="I872" i="2"/>
  <c r="L102" i="5" l="1"/>
  <c r="L98" i="5"/>
  <c r="AY235" i="2"/>
  <c r="BC121" i="2"/>
  <c r="BC111" i="2"/>
  <c r="BC20" i="2"/>
  <c r="AY19" i="5"/>
  <c r="H7" i="2"/>
  <c r="H63" i="2"/>
  <c r="M56" i="2"/>
  <c r="H67" i="2"/>
  <c r="H55" i="2"/>
  <c r="S49" i="7"/>
  <c r="T42" i="7" s="1"/>
  <c r="AU127" i="5"/>
  <c r="AU59" i="5"/>
  <c r="X102" i="5"/>
  <c r="X98" i="5"/>
  <c r="I876" i="2"/>
  <c r="I874" i="2" s="1"/>
  <c r="I484" i="2" s="1"/>
  <c r="O49" i="5"/>
  <c r="O424" i="2"/>
  <c r="O50" i="5" s="1"/>
  <c r="O79" i="5" s="1"/>
  <c r="E49" i="5"/>
  <c r="E424" i="2"/>
  <c r="AU794" i="2"/>
  <c r="AQ112" i="5"/>
  <c r="AL127" i="5"/>
  <c r="AL59" i="5"/>
  <c r="D102" i="5"/>
  <c r="D98" i="5"/>
  <c r="BE777" i="2"/>
  <c r="BF766" i="2"/>
  <c r="BE490" i="2"/>
  <c r="BE9" i="5" s="1"/>
  <c r="W2" i="5"/>
  <c r="W5" i="7"/>
  <c r="X5" i="2"/>
  <c r="AC98" i="5"/>
  <c r="AC102" i="5"/>
  <c r="AA85" i="5"/>
  <c r="AA82" i="5" s="1"/>
  <c r="BD140" i="2"/>
  <c r="AN375" i="2"/>
  <c r="AN378" i="2" s="1"/>
  <c r="AN361" i="2"/>
  <c r="AN368" i="2" s="1"/>
  <c r="AN794" i="2"/>
  <c r="N112" i="5"/>
  <c r="I127" i="5"/>
  <c r="I59" i="5"/>
  <c r="P285" i="2"/>
  <c r="AA95" i="5"/>
  <c r="W98" i="5"/>
  <c r="W102" i="5"/>
  <c r="AL285" i="2"/>
  <c r="J422" i="2"/>
  <c r="J417" i="2"/>
  <c r="J414" i="2"/>
  <c r="J423" i="2" s="1"/>
  <c r="AY215" i="2"/>
  <c r="AY16" i="5" s="1"/>
  <c r="AY45" i="2"/>
  <c r="AY47" i="2" s="1"/>
  <c r="K806" i="2"/>
  <c r="H49" i="5"/>
  <c r="H424" i="2"/>
  <c r="H50" i="5" s="1"/>
  <c r="H79" i="5" s="1"/>
  <c r="AQ285" i="2"/>
  <c r="AJ49" i="5"/>
  <c r="AJ424" i="2"/>
  <c r="AJ50" i="5" s="1"/>
  <c r="AJ79" i="5" s="1"/>
  <c r="D130" i="5"/>
  <c r="BE26" i="5"/>
  <c r="BE106" i="2"/>
  <c r="BE107" i="2" s="1"/>
  <c r="BE101" i="2"/>
  <c r="BE17" i="2"/>
  <c r="BE19" i="2" s="1"/>
  <c r="AI672" i="2"/>
  <c r="AI803" i="2"/>
  <c r="BB150" i="2"/>
  <c r="BB146" i="2"/>
  <c r="BB109" i="2"/>
  <c r="BC110" i="2" s="1"/>
  <c r="AJ27" i="5"/>
  <c r="AJ26" i="2"/>
  <c r="AO28" i="2" s="1"/>
  <c r="AO115" i="2"/>
  <c r="AT49" i="5"/>
  <c r="AT424" i="2"/>
  <c r="AT50" i="5" s="1"/>
  <c r="AT79" i="5" s="1"/>
  <c r="BD80" i="2"/>
  <c r="BD7" i="2"/>
  <c r="BD63" i="2"/>
  <c r="BD56" i="2"/>
  <c r="BD67" i="2"/>
  <c r="H483" i="2"/>
  <c r="H485" i="2" s="1"/>
  <c r="H470" i="2" s="1"/>
  <c r="H471" i="2" s="1"/>
  <c r="H472" i="2" s="1"/>
  <c r="H4" i="5"/>
  <c r="H6" i="5" s="1"/>
  <c r="H10" i="5" s="1"/>
  <c r="AR98" i="5"/>
  <c r="AR102" i="5"/>
  <c r="S2" i="5"/>
  <c r="S5" i="7"/>
  <c r="T5" i="2"/>
  <c r="W130" i="5"/>
  <c r="AN102" i="5"/>
  <c r="AN98" i="5"/>
  <c r="AF7" i="7"/>
  <c r="AF13" i="7" s="1"/>
  <c r="AG7" i="7" s="1"/>
  <c r="AG13" i="7" s="1"/>
  <c r="AH7" i="7" s="1"/>
  <c r="AH13" i="7" s="1"/>
  <c r="AI7" i="7" s="1"/>
  <c r="AI13" i="7" s="1"/>
  <c r="AJ7" i="7"/>
  <c r="AJ13" i="7" s="1"/>
  <c r="AK7" i="7" s="1"/>
  <c r="AK13" i="7" s="1"/>
  <c r="AL7" i="7" s="1"/>
  <c r="AL13" i="7" s="1"/>
  <c r="O102" i="5"/>
  <c r="O98" i="5"/>
  <c r="AY127" i="2"/>
  <c r="AY13" i="5" s="1"/>
  <c r="AY34" i="2"/>
  <c r="AE49" i="5"/>
  <c r="AE424" i="2"/>
  <c r="AE50" i="5" s="1"/>
  <c r="AE79" i="5" s="1"/>
  <c r="AI94" i="5"/>
  <c r="AM95" i="5" s="1"/>
  <c r="AI44" i="5"/>
  <c r="J130" i="5"/>
  <c r="BF135" i="2"/>
  <c r="BF99" i="2"/>
  <c r="BG90" i="2"/>
  <c r="BF14" i="2"/>
  <c r="BF54" i="2"/>
  <c r="BB729" i="2"/>
  <c r="BC203" i="2"/>
  <c r="BC205" i="2" s="1"/>
  <c r="BB206" i="2"/>
  <c r="BB43" i="2"/>
  <c r="AZ212" i="2"/>
  <c r="AZ214" i="2"/>
  <c r="AS130" i="5"/>
  <c r="AS94" i="5"/>
  <c r="AS44" i="5"/>
  <c r="Q95" i="5"/>
  <c r="AU95" i="5"/>
  <c r="AL803" i="2"/>
  <c r="AL672" i="2"/>
  <c r="AM666" i="2"/>
  <c r="AB98" i="5"/>
  <c r="AB102" i="5"/>
  <c r="Z98" i="5"/>
  <c r="Z102" i="5"/>
  <c r="AZ21" i="2"/>
  <c r="AZ22" i="2"/>
  <c r="AW49" i="5"/>
  <c r="AW424" i="2"/>
  <c r="AW50" i="5" s="1"/>
  <c r="AW79" i="5" s="1"/>
  <c r="AQ49" i="5"/>
  <c r="AQ424" i="2"/>
  <c r="AQ50" i="5" s="1"/>
  <c r="AQ79" i="5" s="1"/>
  <c r="E112" i="5"/>
  <c r="D127" i="5"/>
  <c r="D85" i="5"/>
  <c r="D82" i="5" s="1"/>
  <c r="D59" i="5"/>
  <c r="AS412" i="2"/>
  <c r="AS793" i="2"/>
  <c r="AS801" i="2"/>
  <c r="AR801" i="2"/>
  <c r="AT808" i="2"/>
  <c r="AQ95" i="5"/>
  <c r="AC49" i="5"/>
  <c r="AC424" i="2"/>
  <c r="AC50" i="5" s="1"/>
  <c r="AC79" i="5" s="1"/>
  <c r="R95" i="5"/>
  <c r="Q49" i="5"/>
  <c r="Q424" i="2"/>
  <c r="Q50" i="5" s="1"/>
  <c r="Q79" i="5" s="1"/>
  <c r="AX46" i="2"/>
  <c r="AX47" i="2"/>
  <c r="J95" i="5"/>
  <c r="J102" i="5" s="1"/>
  <c r="BE140" i="2"/>
  <c r="BE142" i="2" s="1"/>
  <c r="BE138" i="2"/>
  <c r="AV49" i="5"/>
  <c r="AV424" i="2"/>
  <c r="AV50" i="5" s="1"/>
  <c r="AV79" i="5" s="1"/>
  <c r="BA207" i="2"/>
  <c r="BA211" i="2"/>
  <c r="BC18" i="2"/>
  <c r="BC19" i="2"/>
  <c r="AB422" i="2"/>
  <c r="AB417" i="2"/>
  <c r="AE809" i="2" s="1"/>
  <c r="AB414" i="2"/>
  <c r="AB423" i="2" s="1"/>
  <c r="AB130" i="5"/>
  <c r="R49" i="5"/>
  <c r="R424" i="2"/>
  <c r="R50" i="5" s="1"/>
  <c r="R79" i="5" s="1"/>
  <c r="P422" i="2"/>
  <c r="P417" i="2"/>
  <c r="P414" i="2"/>
  <c r="P423" i="2" s="1"/>
  <c r="N422" i="2"/>
  <c r="N417" i="2"/>
  <c r="N414" i="2"/>
  <c r="N423" i="2" s="1"/>
  <c r="X49" i="5"/>
  <c r="X424" i="2"/>
  <c r="X50" i="5" s="1"/>
  <c r="X79" i="5" s="1"/>
  <c r="D478" i="2"/>
  <c r="D472" i="2"/>
  <c r="AX244" i="2"/>
  <c r="AY217" i="2"/>
  <c r="AY218" i="2" s="1"/>
  <c r="S285" i="2"/>
  <c r="F10" i="5"/>
  <c r="F122" i="5"/>
  <c r="Z285" i="2"/>
  <c r="AG112" i="5"/>
  <c r="AB127" i="5"/>
  <c r="AB85" i="5"/>
  <c r="AB82" i="5" s="1"/>
  <c r="AB59" i="5"/>
  <c r="J3" i="7"/>
  <c r="J4" i="7"/>
  <c r="AA49" i="5"/>
  <c r="AA424" i="2"/>
  <c r="AA50" i="5" s="1"/>
  <c r="AA79" i="5" s="1"/>
  <c r="F49" i="5"/>
  <c r="F424" i="2"/>
  <c r="AK49" i="5"/>
  <c r="AK424" i="2"/>
  <c r="AK50" i="5" s="1"/>
  <c r="AK79" i="5" s="1"/>
  <c r="U112" i="5"/>
  <c r="P127" i="5"/>
  <c r="P85" i="5"/>
  <c r="P82" i="5" s="1"/>
  <c r="P59" i="5"/>
  <c r="AP95" i="5"/>
  <c r="AZ123" i="2"/>
  <c r="AZ125" i="2" s="1"/>
  <c r="AZ122" i="2"/>
  <c r="BA224" i="2"/>
  <c r="BA129" i="2"/>
  <c r="BA241" i="2" s="1"/>
  <c r="BA127" i="2"/>
  <c r="BA13" i="5" s="1"/>
  <c r="BA34" i="2"/>
  <c r="BA21" i="2"/>
  <c r="AR49" i="5"/>
  <c r="AR424" i="2"/>
  <c r="AR50" i="5" s="1"/>
  <c r="AR79" i="5" s="1"/>
  <c r="AY313" i="2"/>
  <c r="AY131" i="2"/>
  <c r="AO806" i="2"/>
  <c r="M49" i="5"/>
  <c r="M424" i="2"/>
  <c r="M50" i="5" s="1"/>
  <c r="M79" i="5" s="1"/>
  <c r="E120" i="5"/>
  <c r="E119" i="5"/>
  <c r="E123" i="5"/>
  <c r="K422" i="2"/>
  <c r="K417" i="2"/>
  <c r="K414" i="2"/>
  <c r="K423" i="2" s="1"/>
  <c r="K576" i="2"/>
  <c r="K577" i="2" s="1"/>
  <c r="L576" i="2" s="1"/>
  <c r="J577" i="2"/>
  <c r="BC65" i="2"/>
  <c r="BC10" i="2"/>
  <c r="BC64" i="2"/>
  <c r="AB112" i="5"/>
  <c r="W127" i="5"/>
  <c r="W85" i="5"/>
  <c r="W82" i="5" s="1"/>
  <c r="W59" i="5"/>
  <c r="AD98" i="5"/>
  <c r="AD102" i="5"/>
  <c r="AH102" i="5"/>
  <c r="AH98" i="5"/>
  <c r="S112" i="5"/>
  <c r="N127" i="5"/>
  <c r="N85" i="5"/>
  <c r="N82" i="5" s="1"/>
  <c r="N59" i="5"/>
  <c r="AO49" i="5"/>
  <c r="AO424" i="2"/>
  <c r="AO50" i="5" s="1"/>
  <c r="AO79" i="5" s="1"/>
  <c r="AY241" i="2"/>
  <c r="BD59" i="2"/>
  <c r="BD81" i="2"/>
  <c r="BD8" i="2"/>
  <c r="BD68" i="2"/>
  <c r="AX22" i="5"/>
  <c r="AX238" i="2"/>
  <c r="AY238" i="2" s="1"/>
  <c r="AY227" i="2"/>
  <c r="AU422" i="2"/>
  <c r="AU417" i="2"/>
  <c r="AU414" i="2"/>
  <c r="AU423" i="2" s="1"/>
  <c r="AP49" i="5"/>
  <c r="AP424" i="2"/>
  <c r="AP50" i="5" s="1"/>
  <c r="AP79" i="5" s="1"/>
  <c r="Z112" i="5"/>
  <c r="U127" i="5"/>
  <c r="U85" i="5"/>
  <c r="U82" i="5" s="1"/>
  <c r="U59" i="5"/>
  <c r="Q85" i="5"/>
  <c r="Q82" i="5" s="1"/>
  <c r="AI361" i="2"/>
  <c r="AI368" i="2" s="1"/>
  <c r="AJ806" i="2" s="1"/>
  <c r="BE207" i="2"/>
  <c r="BE211" i="2"/>
  <c r="U414" i="2"/>
  <c r="U423" i="2" s="1"/>
  <c r="U422" i="2"/>
  <c r="U417" i="2"/>
  <c r="U809" i="2" s="1"/>
  <c r="U794" i="2"/>
  <c r="Z422" i="2"/>
  <c r="Z417" i="2"/>
  <c r="Z414" i="2"/>
  <c r="Z423" i="2" s="1"/>
  <c r="AS281" i="2"/>
  <c r="AS283" i="2"/>
  <c r="AS285" i="2" s="1"/>
  <c r="M95" i="5"/>
  <c r="G25" i="5"/>
  <c r="L12" i="2"/>
  <c r="AN127" i="5"/>
  <c r="AN85" i="5"/>
  <c r="AN82" i="5" s="1"/>
  <c r="AN59" i="5"/>
  <c r="W112" i="5"/>
  <c r="AM49" i="5"/>
  <c r="AM424" i="2"/>
  <c r="AM50" i="5" s="1"/>
  <c r="AM79" i="5" s="1"/>
  <c r="AU801" i="2"/>
  <c r="T49" i="5"/>
  <c r="T424" i="2"/>
  <c r="T50" i="5" s="1"/>
  <c r="T79" i="5" s="1"/>
  <c r="Y85" i="5"/>
  <c r="Y82" i="5" s="1"/>
  <c r="AN422" i="2"/>
  <c r="AN417" i="2"/>
  <c r="AO809" i="2" s="1"/>
  <c r="AN414" i="2"/>
  <c r="AN423" i="2" s="1"/>
  <c r="C49" i="5"/>
  <c r="C424" i="2"/>
  <c r="C50" i="5" s="1"/>
  <c r="C79" i="5" s="1"/>
  <c r="I414" i="2"/>
  <c r="I423" i="2" s="1"/>
  <c r="I422" i="2"/>
  <c r="I417" i="2"/>
  <c r="I794" i="2"/>
  <c r="AU76" i="5"/>
  <c r="AU78" i="5" s="1"/>
  <c r="AU66" i="5"/>
  <c r="AU73" i="5" s="1"/>
  <c r="AU131" i="5" s="1"/>
  <c r="BF729" i="2"/>
  <c r="BF206" i="2"/>
  <c r="BG203" i="2"/>
  <c r="BG205" i="2" s="1"/>
  <c r="BF43" i="2"/>
  <c r="AG414" i="2"/>
  <c r="AG423" i="2" s="1"/>
  <c r="AG422" i="2"/>
  <c r="AG417" i="2"/>
  <c r="AG794" i="2"/>
  <c r="V102" i="5"/>
  <c r="V98" i="5"/>
  <c r="K98" i="5"/>
  <c r="K102" i="5"/>
  <c r="F803" i="2"/>
  <c r="K666" i="2"/>
  <c r="K667" i="2" s="1"/>
  <c r="F672" i="2"/>
  <c r="G666" i="2"/>
  <c r="G667" i="2" s="1"/>
  <c r="AE112" i="5"/>
  <c r="Z127" i="5"/>
  <c r="Z85" i="5"/>
  <c r="Z82" i="5" s="1"/>
  <c r="Z59" i="5"/>
  <c r="AM85" i="5"/>
  <c r="AM82" i="5" s="1"/>
  <c r="F478" i="2"/>
  <c r="F472" i="2"/>
  <c r="AP85" i="5"/>
  <c r="AP82" i="5" s="1"/>
  <c r="E478" i="2"/>
  <c r="E472" i="2"/>
  <c r="BB25" i="5"/>
  <c r="BB11" i="2"/>
  <c r="BB12" i="2"/>
  <c r="AI412" i="2"/>
  <c r="AI794" i="2" s="1"/>
  <c r="AI801" i="2"/>
  <c r="AI793" i="2"/>
  <c r="AH801" i="2"/>
  <c r="AF102" i="5"/>
  <c r="AF98" i="5"/>
  <c r="AL422" i="2"/>
  <c r="AL417" i="2"/>
  <c r="AL414" i="2"/>
  <c r="AL423" i="2" s="1"/>
  <c r="AL112" i="5"/>
  <c r="AG127" i="5"/>
  <c r="AG85" i="5"/>
  <c r="AG82" i="5" s="1"/>
  <c r="AG59" i="5"/>
  <c r="O85" i="5"/>
  <c r="O82" i="5" s="1"/>
  <c r="AS47" i="5"/>
  <c r="AW85" i="5" s="1"/>
  <c r="AW82" i="5" s="1"/>
  <c r="AS465" i="2"/>
  <c r="AS329" i="2"/>
  <c r="O2" i="5"/>
  <c r="O5" i="7"/>
  <c r="J877" i="2"/>
  <c r="J878" i="2"/>
  <c r="J1" i="5"/>
  <c r="J876" i="2"/>
  <c r="J874" i="2" s="1"/>
  <c r="J484" i="2" s="1"/>
  <c r="J851" i="2"/>
  <c r="K4" i="2"/>
  <c r="J3" i="2"/>
  <c r="P112" i="5"/>
  <c r="K127" i="5"/>
  <c r="K85" i="5"/>
  <c r="K82" i="5" s="1"/>
  <c r="K59" i="5"/>
  <c r="AF49" i="5"/>
  <c r="AF424" i="2"/>
  <c r="AF50" i="5" s="1"/>
  <c r="AF79" i="5" s="1"/>
  <c r="BE81" i="2"/>
  <c r="BE59" i="2"/>
  <c r="BE8" i="2"/>
  <c r="Z49" i="7"/>
  <c r="D122" i="5"/>
  <c r="D10" i="5"/>
  <c r="Y102" i="5"/>
  <c r="Y98" i="5"/>
  <c r="BC150" i="2"/>
  <c r="BC146" i="2"/>
  <c r="N102" i="5"/>
  <c r="N98" i="5"/>
  <c r="G4" i="5"/>
  <c r="G6" i="5" s="1"/>
  <c r="G10" i="5" s="1"/>
  <c r="G483" i="2"/>
  <c r="G485" i="2" s="1"/>
  <c r="G470" i="2" s="1"/>
  <c r="G471" i="2" s="1"/>
  <c r="G472" i="2" s="1"/>
  <c r="S49" i="5"/>
  <c r="S424" i="2"/>
  <c r="S50" i="5" s="1"/>
  <c r="S79" i="5" s="1"/>
  <c r="AU803" i="2"/>
  <c r="AV666" i="2"/>
  <c r="AV667" i="2" s="1"/>
  <c r="AU672" i="2"/>
  <c r="AR803" i="2"/>
  <c r="AR672" i="2"/>
  <c r="AS666" i="2"/>
  <c r="AS667" i="2" s="1"/>
  <c r="I54" i="2"/>
  <c r="K54" i="2" s="1"/>
  <c r="AH49" i="5"/>
  <c r="AH424" i="2"/>
  <c r="AH50" i="5" s="1"/>
  <c r="AH79" i="5" s="1"/>
  <c r="BB8" i="5"/>
  <c r="BB796" i="2"/>
  <c r="BC455" i="2"/>
  <c r="BB453" i="2"/>
  <c r="BB761" i="2" s="1"/>
  <c r="BF136" i="2"/>
  <c r="BF141" i="2" s="1"/>
  <c r="BG93" i="2"/>
  <c r="BF105" i="2"/>
  <c r="BF57" i="2"/>
  <c r="BF15" i="2"/>
  <c r="V49" i="7"/>
  <c r="W42" i="7" s="1"/>
  <c r="V50" i="7"/>
  <c r="Z794" i="2"/>
  <c r="V49" i="5"/>
  <c r="V424" i="2"/>
  <c r="V50" i="5" s="1"/>
  <c r="V79" i="5" s="1"/>
  <c r="AE2" i="5"/>
  <c r="AE5" i="7"/>
  <c r="AJ5" i="2"/>
  <c r="AF5" i="2"/>
  <c r="AU112" i="5"/>
  <c r="BC107" i="2"/>
  <c r="P794" i="2"/>
  <c r="AI47" i="5"/>
  <c r="AI465" i="2"/>
  <c r="AI329" i="2"/>
  <c r="N130" i="5"/>
  <c r="AI281" i="2"/>
  <c r="AI283" i="2"/>
  <c r="AI285" i="2" s="1"/>
  <c r="AD49" i="5"/>
  <c r="AD424" i="2"/>
  <c r="AD50" i="5" s="1"/>
  <c r="AD79" i="5" s="1"/>
  <c r="D422" i="2"/>
  <c r="D417" i="2"/>
  <c r="D414" i="2"/>
  <c r="D423" i="2" s="1"/>
  <c r="O112" i="5"/>
  <c r="J127" i="5"/>
  <c r="J85" i="5"/>
  <c r="J82" i="5" s="1"/>
  <c r="J59" i="5"/>
  <c r="I857" i="2"/>
  <c r="I869" i="2"/>
  <c r="I867" i="2" s="1"/>
  <c r="I864" i="2"/>
  <c r="I855" i="2"/>
  <c r="I853" i="2" s="1"/>
  <c r="I481" i="2" s="1"/>
  <c r="I871" i="2"/>
  <c r="I862" i="2"/>
  <c r="I860" i="2" s="1"/>
  <c r="I482" i="2" s="1"/>
  <c r="G49" i="5"/>
  <c r="K809" i="2"/>
  <c r="G424" i="2"/>
  <c r="G50" i="5" s="1"/>
  <c r="G79" i="5" s="1"/>
  <c r="AS375" i="2"/>
  <c r="AS378" i="2" s="1"/>
  <c r="AS361" i="2"/>
  <c r="AS368" i="2" s="1"/>
  <c r="AT806" i="2" s="1"/>
  <c r="AS794" i="2"/>
  <c r="Y49" i="5"/>
  <c r="Y424" i="2"/>
  <c r="Y50" i="5" s="1"/>
  <c r="Y79" i="5" s="1"/>
  <c r="W422" i="2"/>
  <c r="W417" i="2"/>
  <c r="Z809" i="2" s="1"/>
  <c r="W414" i="2"/>
  <c r="W423" i="2" s="1"/>
  <c r="AA2" i="5"/>
  <c r="AA5" i="7"/>
  <c r="AB5" i="2"/>
  <c r="BE80" i="2"/>
  <c r="BE63" i="2"/>
  <c r="BE56" i="2"/>
  <c r="BE7" i="2"/>
  <c r="L49" i="5"/>
  <c r="P809" i="2"/>
  <c r="L424" i="2"/>
  <c r="L50" i="5" s="1"/>
  <c r="L79" i="5" s="1"/>
  <c r="AG98" i="5"/>
  <c r="AG102" i="5"/>
  <c r="M85" i="5"/>
  <c r="M82" i="5" s="1"/>
  <c r="J865" i="2"/>
  <c r="J858" i="2"/>
  <c r="J872" i="2"/>
  <c r="K63" i="2" l="1"/>
  <c r="P56" i="2"/>
  <c r="K67" i="2"/>
  <c r="K56" i="2"/>
  <c r="K7" i="2"/>
  <c r="AZ127" i="2"/>
  <c r="AZ13" i="5" s="1"/>
  <c r="AZ126" i="2"/>
  <c r="AZ129" i="2"/>
  <c r="AZ224" i="2"/>
  <c r="AZ34" i="2"/>
  <c r="BA126" i="2"/>
  <c r="AM102" i="5"/>
  <c r="AM98" i="5"/>
  <c r="AN112" i="5"/>
  <c r="AI127" i="5"/>
  <c r="AI85" i="5"/>
  <c r="AI82" i="5" s="1"/>
  <c r="AI59" i="5"/>
  <c r="AK85" i="5"/>
  <c r="AK82" i="5" s="1"/>
  <c r="AI112" i="5"/>
  <c r="BC8" i="5"/>
  <c r="BC796" i="2"/>
  <c r="BC453" i="2"/>
  <c r="BC761" i="2" s="1"/>
  <c r="BD761" i="2" s="1"/>
  <c r="J869" i="2"/>
  <c r="J867" i="2" s="1"/>
  <c r="J864" i="2"/>
  <c r="J855" i="2"/>
  <c r="J853" i="2" s="1"/>
  <c r="J481" i="2" s="1"/>
  <c r="J871" i="2"/>
  <c r="J862" i="2"/>
  <c r="J860" i="2" s="1"/>
  <c r="J482" i="2" s="1"/>
  <c r="J857" i="2"/>
  <c r="AL49" i="5"/>
  <c r="AL424" i="2"/>
  <c r="AL50" i="5" s="1"/>
  <c r="AL79" i="5" s="1"/>
  <c r="AL95" i="5"/>
  <c r="AR129" i="5"/>
  <c r="AW113" i="5"/>
  <c r="AR89" i="5"/>
  <c r="AC113" i="5"/>
  <c r="X129" i="5"/>
  <c r="X89" i="5"/>
  <c r="BG135" i="2"/>
  <c r="BG104" i="2"/>
  <c r="BG99" i="2"/>
  <c r="BG14" i="2"/>
  <c r="BG54" i="2"/>
  <c r="AE129" i="5"/>
  <c r="AJ113" i="5"/>
  <c r="AE89" i="5"/>
  <c r="AE90" i="5" s="1"/>
  <c r="AE93" i="5" s="1"/>
  <c r="T2" i="5"/>
  <c r="T5" i="7"/>
  <c r="AU85" i="5"/>
  <c r="AU82" i="5" s="1"/>
  <c r="AD113" i="5"/>
  <c r="Y129" i="5"/>
  <c r="Y89" i="5"/>
  <c r="I4" i="5"/>
  <c r="I6" i="5" s="1"/>
  <c r="I10" i="5" s="1"/>
  <c r="I483" i="2"/>
  <c r="I485" i="2" s="1"/>
  <c r="I470" i="2" s="1"/>
  <c r="I471" i="2" s="1"/>
  <c r="I472" i="2" s="1"/>
  <c r="AA113" i="5"/>
  <c r="V129" i="5"/>
  <c r="V89" i="5"/>
  <c r="AV803" i="2"/>
  <c r="AV672" i="2"/>
  <c r="AW666" i="2"/>
  <c r="AW667" i="2" s="1"/>
  <c r="G803" i="2"/>
  <c r="G672" i="2"/>
  <c r="H666" i="2"/>
  <c r="H667" i="2" s="1"/>
  <c r="BC25" i="5"/>
  <c r="BC11" i="2"/>
  <c r="BC12" i="2"/>
  <c r="AP98" i="5"/>
  <c r="AP102" i="5"/>
  <c r="AF113" i="5"/>
  <c r="AA129" i="5"/>
  <c r="AA89" i="5"/>
  <c r="BE150" i="2"/>
  <c r="BE146" i="2"/>
  <c r="AQ102" i="5"/>
  <c r="AQ98" i="5"/>
  <c r="BF26" i="5"/>
  <c r="BF101" i="2"/>
  <c r="BF17" i="2"/>
  <c r="BF19" i="2" s="1"/>
  <c r="BF106" i="2"/>
  <c r="AT129" i="5"/>
  <c r="AT89" i="5"/>
  <c r="AT90" i="5" s="1"/>
  <c r="AT93" i="5" s="1"/>
  <c r="BE65" i="2"/>
  <c r="BE10" i="2"/>
  <c r="T129" i="5"/>
  <c r="Y113" i="5"/>
  <c r="T89" i="5"/>
  <c r="M102" i="5"/>
  <c r="M98" i="5"/>
  <c r="BE214" i="2"/>
  <c r="N49" i="5"/>
  <c r="N424" i="2"/>
  <c r="N50" i="5" s="1"/>
  <c r="N79" i="5" s="1"/>
  <c r="AQ129" i="5"/>
  <c r="AV113" i="5"/>
  <c r="AQ89" i="5"/>
  <c r="BF140" i="2"/>
  <c r="BF142" i="2" s="1"/>
  <c r="BF138" i="2"/>
  <c r="AO113" i="5"/>
  <c r="AJ129" i="5"/>
  <c r="AJ89" i="5"/>
  <c r="AJ90" i="5" s="1"/>
  <c r="AJ93" i="5" s="1"/>
  <c r="S50" i="7"/>
  <c r="BC22" i="2"/>
  <c r="E479" i="2"/>
  <c r="E476" i="2"/>
  <c r="E475" i="2"/>
  <c r="K803" i="2"/>
  <c r="P666" i="2"/>
  <c r="P667" i="2" s="1"/>
  <c r="L666" i="2"/>
  <c r="L667" i="2" s="1"/>
  <c r="K672" i="2"/>
  <c r="C89" i="5"/>
  <c r="C90" i="5" s="1"/>
  <c r="C93" i="5" s="1"/>
  <c r="F123" i="5"/>
  <c r="F120" i="5"/>
  <c r="F119" i="5"/>
  <c r="AU98" i="5"/>
  <c r="AU102" i="5"/>
  <c r="BF104" i="2"/>
  <c r="BF107" i="2" s="1"/>
  <c r="BD144" i="2"/>
  <c r="BD142" i="2"/>
  <c r="BF777" i="2"/>
  <c r="BG766" i="2"/>
  <c r="BF490" i="2"/>
  <c r="BF9" i="5" s="1"/>
  <c r="E50" i="5"/>
  <c r="E474" i="2"/>
  <c r="T49" i="7"/>
  <c r="T50" i="7"/>
  <c r="AB2" i="5"/>
  <c r="AB5" i="7"/>
  <c r="AC5" i="2"/>
  <c r="W49" i="7"/>
  <c r="X42" i="7" s="1"/>
  <c r="AM113" i="5"/>
  <c r="AH89" i="5"/>
  <c r="AH129" i="5"/>
  <c r="S129" i="5"/>
  <c r="X113" i="5"/>
  <c r="S89" i="5"/>
  <c r="AF129" i="5"/>
  <c r="AK113" i="5"/>
  <c r="AF89" i="5"/>
  <c r="BG729" i="2"/>
  <c r="BG206" i="2"/>
  <c r="BG43" i="2"/>
  <c r="M576" i="2"/>
  <c r="L577" i="2"/>
  <c r="AW129" i="5"/>
  <c r="AW89" i="5"/>
  <c r="Q102" i="5"/>
  <c r="Q98" i="5"/>
  <c r="E129" i="5"/>
  <c r="F113" i="5"/>
  <c r="E89" i="5"/>
  <c r="E90" i="5" s="1"/>
  <c r="E93" i="5" s="1"/>
  <c r="AN285" i="2"/>
  <c r="AS127" i="5"/>
  <c r="AS85" i="5"/>
  <c r="AS82" i="5" s="1"/>
  <c r="AS59" i="5"/>
  <c r="BF211" i="2"/>
  <c r="BF207" i="2"/>
  <c r="AP129" i="5"/>
  <c r="AP89" i="5"/>
  <c r="AU113" i="5"/>
  <c r="AY316" i="2"/>
  <c r="AY219" i="2"/>
  <c r="P49" i="5"/>
  <c r="P424" i="2"/>
  <c r="P50" i="5" s="1"/>
  <c r="P79" i="5" s="1"/>
  <c r="BB121" i="2"/>
  <c r="BB110" i="2"/>
  <c r="BB111" i="2"/>
  <c r="BB20" i="2"/>
  <c r="BC21" i="2" s="1"/>
  <c r="BC123" i="2"/>
  <c r="BC124" i="2" s="1"/>
  <c r="BC122" i="2"/>
  <c r="AF2" i="5"/>
  <c r="AF5" i="7"/>
  <c r="AG5" i="2"/>
  <c r="BF59" i="2"/>
  <c r="BF81" i="2"/>
  <c r="BF8" i="2"/>
  <c r="I63" i="2"/>
  <c r="N56" i="2"/>
  <c r="I67" i="2"/>
  <c r="J55" i="2"/>
  <c r="I55" i="2"/>
  <c r="I7" i="2"/>
  <c r="F475" i="2"/>
  <c r="F479" i="2"/>
  <c r="F476" i="2"/>
  <c r="AR113" i="5"/>
  <c r="AM129" i="5"/>
  <c r="AM89" i="5"/>
  <c r="AY244" i="2"/>
  <c r="AS414" i="2"/>
  <c r="AS423" i="2" s="1"/>
  <c r="AS422" i="2"/>
  <c r="AS417" i="2"/>
  <c r="AS95" i="5"/>
  <c r="AW95" i="5"/>
  <c r="AV95" i="5"/>
  <c r="BE70" i="2"/>
  <c r="H129" i="5"/>
  <c r="M113" i="5"/>
  <c r="H89" i="5"/>
  <c r="AA102" i="5"/>
  <c r="AA98" i="5"/>
  <c r="T113" i="5"/>
  <c r="O129" i="5"/>
  <c r="O89" i="5"/>
  <c r="AJ2" i="5"/>
  <c r="AJ5" i="7"/>
  <c r="AK5" i="2"/>
  <c r="AO5" i="2"/>
  <c r="D120" i="5"/>
  <c r="D119" i="5"/>
  <c r="D123" i="5"/>
  <c r="K49" i="5"/>
  <c r="K113" i="5" s="1"/>
  <c r="K424" i="2"/>
  <c r="K50" i="5" s="1"/>
  <c r="K79" i="5" s="1"/>
  <c r="R113" i="5"/>
  <c r="M129" i="5"/>
  <c r="M89" i="5"/>
  <c r="BA19" i="5"/>
  <c r="BA235" i="2"/>
  <c r="BB211" i="2"/>
  <c r="BB207" i="2"/>
  <c r="BD150" i="2"/>
  <c r="G129" i="5"/>
  <c r="L113" i="5"/>
  <c r="G89" i="5"/>
  <c r="D49" i="5"/>
  <c r="D424" i="2"/>
  <c r="BG105" i="2"/>
  <c r="BG136" i="2"/>
  <c r="BG141" i="2" s="1"/>
  <c r="BG57" i="2"/>
  <c r="BG15" i="2"/>
  <c r="AI422" i="2"/>
  <c r="AI417" i="2"/>
  <c r="AI414" i="2"/>
  <c r="AI423" i="2" s="1"/>
  <c r="Z49" i="5"/>
  <c r="Z424" i="2"/>
  <c r="Z50" i="5" s="1"/>
  <c r="Z79" i="5" s="1"/>
  <c r="AU49" i="5"/>
  <c r="AU424" i="2"/>
  <c r="AU50" i="5" s="1"/>
  <c r="AU79" i="5" s="1"/>
  <c r="AP113" i="5"/>
  <c r="AK129" i="5"/>
  <c r="AK89" i="5"/>
  <c r="D476" i="2"/>
  <c r="D475" i="2"/>
  <c r="D479" i="2"/>
  <c r="R129" i="5"/>
  <c r="R89" i="5"/>
  <c r="BA212" i="2"/>
  <c r="BA214" i="2"/>
  <c r="Q129" i="5"/>
  <c r="Q89" i="5"/>
  <c r="V113" i="5"/>
  <c r="AZ227" i="2"/>
  <c r="AZ215" i="2"/>
  <c r="AZ16" i="5" s="1"/>
  <c r="AZ217" i="2"/>
  <c r="AZ45" i="2"/>
  <c r="BC729" i="2"/>
  <c r="BD729" i="2" s="1"/>
  <c r="BC206" i="2"/>
  <c r="BC43" i="2"/>
  <c r="BE109" i="2"/>
  <c r="H70" i="2"/>
  <c r="H64" i="2"/>
  <c r="H10" i="2"/>
  <c r="M65" i="2"/>
  <c r="AS672" i="2"/>
  <c r="AS803" i="2"/>
  <c r="AE42" i="7"/>
  <c r="AA42" i="7"/>
  <c r="AN49" i="5"/>
  <c r="AN424" i="2"/>
  <c r="AN50" i="5" s="1"/>
  <c r="AN79" i="5" s="1"/>
  <c r="F50" i="5"/>
  <c r="F474" i="2"/>
  <c r="R98" i="5"/>
  <c r="R102" i="5"/>
  <c r="AI95" i="5"/>
  <c r="AK95" i="5"/>
  <c r="BD65" i="2"/>
  <c r="BD10" i="2"/>
  <c r="BD70" i="2"/>
  <c r="Q113" i="5"/>
  <c r="L129" i="5"/>
  <c r="L89" i="5"/>
  <c r="W49" i="5"/>
  <c r="W424" i="2"/>
  <c r="W50" i="5" s="1"/>
  <c r="W79" i="5" s="1"/>
  <c r="AV85" i="5"/>
  <c r="AV82" i="5" s="1"/>
  <c r="Z50" i="7"/>
  <c r="I49" i="5"/>
  <c r="I424" i="2"/>
  <c r="I50" i="5" s="1"/>
  <c r="I79" i="5" s="1"/>
  <c r="AY22" i="5"/>
  <c r="F129" i="5"/>
  <c r="F89" i="5"/>
  <c r="F90" i="5" s="1"/>
  <c r="F93" i="5" s="1"/>
  <c r="BF80" i="2"/>
  <c r="BF63" i="2"/>
  <c r="BF70" i="2" s="1"/>
  <c r="BF56" i="2"/>
  <c r="BF7" i="2"/>
  <c r="AI130" i="5"/>
  <c r="AL85" i="5"/>
  <c r="AL82" i="5" s="1"/>
  <c r="AD129" i="5"/>
  <c r="AD89" i="5"/>
  <c r="K877" i="2"/>
  <c r="K1" i="5"/>
  <c r="L4" i="2"/>
  <c r="K3" i="2"/>
  <c r="K4" i="7"/>
  <c r="AG49" i="5"/>
  <c r="AG424" i="2"/>
  <c r="AG50" i="5" s="1"/>
  <c r="AG79" i="5" s="1"/>
  <c r="AS112" i="5"/>
  <c r="U49" i="5"/>
  <c r="U424" i="2"/>
  <c r="U50" i="5" s="1"/>
  <c r="U79" i="5" s="1"/>
  <c r="AO129" i="5"/>
  <c r="AO89" i="5"/>
  <c r="AO90" i="5" s="1"/>
  <c r="AO93" i="5" s="1"/>
  <c r="AT113" i="5"/>
  <c r="AZ124" i="2"/>
  <c r="AB49" i="5"/>
  <c r="AB424" i="2"/>
  <c r="AB50" i="5" s="1"/>
  <c r="AB79" i="5" s="1"/>
  <c r="AV129" i="5"/>
  <c r="AV89" i="5"/>
  <c r="AC129" i="5"/>
  <c r="AC89" i="5"/>
  <c r="AH113" i="5"/>
  <c r="J49" i="5"/>
  <c r="J424" i="2"/>
  <c r="J50" i="5" s="1"/>
  <c r="J79" i="5" s="1"/>
  <c r="X2" i="5"/>
  <c r="X5" i="7"/>
  <c r="Y5" i="2"/>
  <c r="O113" i="5" l="1"/>
  <c r="J129" i="5"/>
  <c r="J89" i="5"/>
  <c r="BA227" i="2"/>
  <c r="BA217" i="2"/>
  <c r="BA244" i="2" s="1"/>
  <c r="BA215" i="2"/>
  <c r="BA16" i="5" s="1"/>
  <c r="BA45" i="2"/>
  <c r="AO2" i="5"/>
  <c r="AO5" i="7"/>
  <c r="AT5" i="2"/>
  <c r="AP5" i="2"/>
  <c r="BB123" i="2"/>
  <c r="BB125" i="2" s="1"/>
  <c r="BB122" i="2"/>
  <c r="BD121" i="2"/>
  <c r="S90" i="5"/>
  <c r="S93" i="5" s="1"/>
  <c r="H803" i="2"/>
  <c r="H672" i="2"/>
  <c r="I666" i="2"/>
  <c r="I667" i="2" s="1"/>
  <c r="BD455" i="2"/>
  <c r="BD453" i="2"/>
  <c r="AB113" i="5"/>
  <c r="W129" i="5"/>
  <c r="W89" i="5"/>
  <c r="W90" i="5" s="1"/>
  <c r="W93" i="5" s="1"/>
  <c r="F79" i="5"/>
  <c r="F118" i="5"/>
  <c r="BE111" i="2"/>
  <c r="BE20" i="2"/>
  <c r="AU129" i="5"/>
  <c r="AU89" i="5"/>
  <c r="D50" i="5"/>
  <c r="D474" i="2"/>
  <c r="AK2" i="5"/>
  <c r="AK5" i="7"/>
  <c r="AL5" i="2"/>
  <c r="S113" i="5"/>
  <c r="N129" i="5"/>
  <c r="N89" i="5"/>
  <c r="N90" i="5" s="1"/>
  <c r="N93" i="5" s="1"/>
  <c r="Y90" i="5"/>
  <c r="Y93" i="5" s="1"/>
  <c r="AZ19" i="5"/>
  <c r="Z113" i="5"/>
  <c r="U129" i="5"/>
  <c r="U89" i="5"/>
  <c r="U90" i="5" s="1"/>
  <c r="U93" i="5" s="1"/>
  <c r="W113" i="5"/>
  <c r="E113" i="5"/>
  <c r="D129" i="5"/>
  <c r="D89" i="5"/>
  <c r="D90" i="5" s="1"/>
  <c r="D93" i="5" s="1"/>
  <c r="AV98" i="5"/>
  <c r="AV102" i="5"/>
  <c r="U113" i="5"/>
  <c r="P129" i="5"/>
  <c r="P89" i="5"/>
  <c r="P90" i="5" s="1"/>
  <c r="P93" i="5" s="1"/>
  <c r="E79" i="5"/>
  <c r="E118" i="5"/>
  <c r="AD90" i="5"/>
  <c r="AD93" i="5" s="1"/>
  <c r="AN129" i="5"/>
  <c r="AN89" i="5"/>
  <c r="AN90" i="5" s="1"/>
  <c r="AN93" i="5" s="1"/>
  <c r="BC207" i="2"/>
  <c r="BC211" i="2"/>
  <c r="R90" i="5"/>
  <c r="R93" i="5" s="1"/>
  <c r="AE113" i="5"/>
  <c r="Z129" i="5"/>
  <c r="Z89" i="5"/>
  <c r="Z90" i="5" s="1"/>
  <c r="Z93" i="5" s="1"/>
  <c r="AW102" i="5"/>
  <c r="AW98" i="5"/>
  <c r="AG2" i="5"/>
  <c r="AG5" i="7"/>
  <c r="AH5" i="2"/>
  <c r="D113" i="5"/>
  <c r="BE227" i="2"/>
  <c r="BE45" i="2"/>
  <c r="AL102" i="5"/>
  <c r="AL98" i="5"/>
  <c r="AZ241" i="2"/>
  <c r="AA49" i="7"/>
  <c r="AB42" i="7" s="1"/>
  <c r="O90" i="5"/>
  <c r="O93" i="5" s="1"/>
  <c r="AS98" i="5"/>
  <c r="AS102" i="5"/>
  <c r="BG777" i="2"/>
  <c r="BG490" i="2"/>
  <c r="BG9" i="5" s="1"/>
  <c r="AA90" i="5"/>
  <c r="AA93" i="5" s="1"/>
  <c r="BG63" i="2"/>
  <c r="BG80" i="2"/>
  <c r="BG56" i="2"/>
  <c r="BG7" i="2"/>
  <c r="AL113" i="5"/>
  <c r="AG89" i="5"/>
  <c r="AG90" i="5" s="1"/>
  <c r="AG93" i="5" s="1"/>
  <c r="AG129" i="5"/>
  <c r="AE49" i="7"/>
  <c r="AE50" i="7" s="1"/>
  <c r="AZ47" i="2"/>
  <c r="AZ46" i="2"/>
  <c r="AI49" i="5"/>
  <c r="AI424" i="2"/>
  <c r="AI50" i="5" s="1"/>
  <c r="AI79" i="5" s="1"/>
  <c r="AJ809" i="2"/>
  <c r="AS49" i="5"/>
  <c r="AS424" i="2"/>
  <c r="AS50" i="5" s="1"/>
  <c r="AS79" i="5" s="1"/>
  <c r="AT809" i="2"/>
  <c r="N576" i="2"/>
  <c r="M577" i="2"/>
  <c r="L803" i="2"/>
  <c r="M666" i="2"/>
  <c r="M667" i="2" s="1"/>
  <c r="L672" i="2"/>
  <c r="AW803" i="2"/>
  <c r="AX666" i="2"/>
  <c r="AW672" i="2"/>
  <c r="AQ113" i="5"/>
  <c r="AL129" i="5"/>
  <c r="AL89" i="5"/>
  <c r="BD25" i="5"/>
  <c r="BD12" i="2"/>
  <c r="AZ244" i="2"/>
  <c r="P113" i="5"/>
  <c r="K129" i="5"/>
  <c r="K89" i="5"/>
  <c r="K90" i="5" s="1"/>
  <c r="K93" i="5" s="1"/>
  <c r="BC125" i="2"/>
  <c r="W50" i="7"/>
  <c r="BD146" i="2"/>
  <c r="BD109" i="2"/>
  <c r="U666" i="2"/>
  <c r="U667" i="2" s="1"/>
  <c r="P672" i="2"/>
  <c r="Q666" i="2"/>
  <c r="Q667" i="2" s="1"/>
  <c r="BG26" i="5"/>
  <c r="BG109" i="2"/>
  <c r="BG70" i="2"/>
  <c r="BG101" i="2"/>
  <c r="BG17" i="2"/>
  <c r="BG19" i="2" s="1"/>
  <c r="BG106" i="2"/>
  <c r="BG107" i="2" s="1"/>
  <c r="AG113" i="5"/>
  <c r="AB129" i="5"/>
  <c r="AB89" i="5"/>
  <c r="AB90" i="5" s="1"/>
  <c r="AB93" i="5" s="1"/>
  <c r="I461" i="2"/>
  <c r="J704" i="2"/>
  <c r="H461" i="2"/>
  <c r="G461" i="2"/>
  <c r="J461" i="2"/>
  <c r="J459" i="2"/>
  <c r="H459" i="2"/>
  <c r="G459" i="2"/>
  <c r="I459" i="2"/>
  <c r="H463" i="2"/>
  <c r="J463" i="2"/>
  <c r="H704" i="2"/>
  <c r="G706" i="2"/>
  <c r="G704" i="2"/>
  <c r="I704" i="2"/>
  <c r="G463" i="2"/>
  <c r="I463" i="2"/>
  <c r="K3" i="7"/>
  <c r="H706" i="2"/>
  <c r="I706" i="2"/>
  <c r="BG211" i="2"/>
  <c r="BG207" i="2"/>
  <c r="X49" i="7"/>
  <c r="Y42" i="7" s="1"/>
  <c r="BF150" i="2"/>
  <c r="BF146" i="2"/>
  <c r="T90" i="5"/>
  <c r="T93" i="5" s="1"/>
  <c r="Y2" i="5"/>
  <c r="Y5" i="7"/>
  <c r="L97" i="6"/>
  <c r="B110" i="6"/>
  <c r="L95" i="6"/>
  <c r="L107" i="6"/>
  <c r="L878" i="2"/>
  <c r="L1" i="5"/>
  <c r="L877" i="2"/>
  <c r="L851" i="2"/>
  <c r="L3" i="2"/>
  <c r="M4" i="2"/>
  <c r="L4" i="7"/>
  <c r="N113" i="5"/>
  <c r="I129" i="5"/>
  <c r="I89" i="5"/>
  <c r="M90" i="5" s="1"/>
  <c r="M93" i="5" s="1"/>
  <c r="AK102" i="5"/>
  <c r="AK98" i="5"/>
  <c r="AZ22" i="5"/>
  <c r="BG81" i="2"/>
  <c r="BG59" i="2"/>
  <c r="BG8" i="2"/>
  <c r="BB212" i="2"/>
  <c r="BB214" i="2"/>
  <c r="AC2" i="5"/>
  <c r="AC5" i="7"/>
  <c r="AD5" i="2"/>
  <c r="V90" i="5"/>
  <c r="V93" i="5" s="1"/>
  <c r="BG138" i="2"/>
  <c r="BG140" i="2"/>
  <c r="BG142" i="2" s="1"/>
  <c r="K851" i="2"/>
  <c r="J706" i="2"/>
  <c r="AI98" i="5"/>
  <c r="AI102" i="5"/>
  <c r="BB21" i="2"/>
  <c r="BB22" i="2"/>
  <c r="BF212" i="2"/>
  <c r="BF214" i="2"/>
  <c r="AF90" i="5"/>
  <c r="AF93" i="5" s="1"/>
  <c r="AQ90" i="5"/>
  <c r="AQ93" i="5" s="1"/>
  <c r="X90" i="5"/>
  <c r="X93" i="5" s="1"/>
  <c r="H25" i="5"/>
  <c r="H11" i="2"/>
  <c r="M12" i="2"/>
  <c r="Q90" i="5"/>
  <c r="Q93" i="5" s="1"/>
  <c r="BE25" i="5"/>
  <c r="BE12" i="2"/>
  <c r="BF109" i="2"/>
  <c r="BF65" i="2"/>
  <c r="BF10" i="2"/>
  <c r="I70" i="2"/>
  <c r="I64" i="2"/>
  <c r="I10" i="2"/>
  <c r="J64" i="2"/>
  <c r="N65" i="2"/>
  <c r="J483" i="2"/>
  <c r="J485" i="2" s="1"/>
  <c r="J470" i="2" s="1"/>
  <c r="J471" i="2" s="1"/>
  <c r="J472" i="2" s="1"/>
  <c r="J4" i="5"/>
  <c r="J6" i="5" s="1"/>
  <c r="J10" i="5" s="1"/>
  <c r="K70" i="2"/>
  <c r="K65" i="2"/>
  <c r="K10" i="2"/>
  <c r="P65" i="2"/>
  <c r="M110" i="6"/>
  <c r="M107" i="6"/>
  <c r="M97" i="6"/>
  <c r="M95" i="6"/>
  <c r="M108" i="6"/>
  <c r="M102" i="6"/>
  <c r="M96" i="6"/>
  <c r="M94" i="6"/>
  <c r="L872" i="2"/>
  <c r="L865" i="2"/>
  <c r="L858" i="2"/>
  <c r="K865" i="2"/>
  <c r="K858" i="2"/>
  <c r="K872" i="2"/>
  <c r="P94" i="6" l="1"/>
  <c r="O94" i="6"/>
  <c r="P96" i="6"/>
  <c r="O96" i="6"/>
  <c r="P102" i="6"/>
  <c r="O102" i="6"/>
  <c r="P108" i="6"/>
  <c r="O108" i="6"/>
  <c r="P95" i="6"/>
  <c r="O95" i="6"/>
  <c r="P97" i="6"/>
  <c r="O97" i="6"/>
  <c r="P107" i="6"/>
  <c r="O107" i="6"/>
  <c r="P110" i="6"/>
  <c r="O110" i="6"/>
  <c r="BB224" i="2"/>
  <c r="BB129" i="2"/>
  <c r="BB126" i="2"/>
  <c r="BB34" i="2"/>
  <c r="BB127" i="2"/>
  <c r="BB13" i="5" s="1"/>
  <c r="I25" i="5"/>
  <c r="I11" i="2"/>
  <c r="J11" i="2"/>
  <c r="N12" i="2"/>
  <c r="AR90" i="5"/>
  <c r="AR93" i="5" s="1"/>
  <c r="K869" i="2"/>
  <c r="K867" i="2" s="1"/>
  <c r="K864" i="2"/>
  <c r="K855" i="2"/>
  <c r="K853" i="2" s="1"/>
  <c r="K481" i="2" s="1"/>
  <c r="K871" i="2"/>
  <c r="K862" i="2"/>
  <c r="K860" i="2" s="1"/>
  <c r="K482" i="2" s="1"/>
  <c r="K857" i="2"/>
  <c r="K876" i="2"/>
  <c r="K874" i="2" s="1"/>
  <c r="K484" i="2" s="1"/>
  <c r="K878" i="2"/>
  <c r="BG111" i="2"/>
  <c r="BG20" i="2"/>
  <c r="I803" i="2"/>
  <c r="J666" i="2"/>
  <c r="J667" i="2" s="1"/>
  <c r="I672" i="2"/>
  <c r="M803" i="2"/>
  <c r="M672" i="2"/>
  <c r="N666" i="2"/>
  <c r="N667" i="2" s="1"/>
  <c r="AH90" i="5"/>
  <c r="AH93" i="5" s="1"/>
  <c r="L90" i="5"/>
  <c r="L93" i="5" s="1"/>
  <c r="K25" i="5"/>
  <c r="K12" i="2"/>
  <c r="P12" i="2"/>
  <c r="BF25" i="5"/>
  <c r="BF12" i="2"/>
  <c r="M1" i="5"/>
  <c r="M877" i="2"/>
  <c r="M851" i="2"/>
  <c r="M3" i="2"/>
  <c r="N4" i="2"/>
  <c r="M4" i="7"/>
  <c r="Q672" i="2"/>
  <c r="R666" i="2"/>
  <c r="R667" i="2" s="1"/>
  <c r="BA47" i="2"/>
  <c r="BA46" i="2"/>
  <c r="BG150" i="2"/>
  <c r="BG146" i="2"/>
  <c r="L3" i="7"/>
  <c r="BF111" i="2"/>
  <c r="BF20" i="2"/>
  <c r="BF22" i="2" s="1"/>
  <c r="BF227" i="2"/>
  <c r="BF215" i="2"/>
  <c r="BF16" i="5" s="1"/>
  <c r="BF45" i="2"/>
  <c r="BF47" i="2" s="1"/>
  <c r="L869" i="2"/>
  <c r="L867" i="2" s="1"/>
  <c r="L864" i="2"/>
  <c r="L855" i="2"/>
  <c r="L853" i="2" s="1"/>
  <c r="L481" i="2" s="1"/>
  <c r="L871" i="2"/>
  <c r="L862" i="2"/>
  <c r="L860" i="2" s="1"/>
  <c r="L482" i="2" s="1"/>
  <c r="L857" i="2"/>
  <c r="V666" i="2"/>
  <c r="V667" i="2" s="1"/>
  <c r="U672" i="2"/>
  <c r="Z666" i="2"/>
  <c r="Z667" i="2" s="1"/>
  <c r="O576" i="2"/>
  <c r="N577" i="2"/>
  <c r="BE22" i="5"/>
  <c r="BD122" i="2"/>
  <c r="BD113" i="2"/>
  <c r="BD125" i="2"/>
  <c r="AZ238" i="2"/>
  <c r="X50" i="7"/>
  <c r="BC212" i="2"/>
  <c r="BC214" i="2"/>
  <c r="AC90" i="5"/>
  <c r="AC93" i="5" s="1"/>
  <c r="AL2" i="5"/>
  <c r="AL5" i="7"/>
  <c r="AM5" i="2"/>
  <c r="BA22" i="5"/>
  <c r="BA238" i="2"/>
  <c r="AD2" i="5"/>
  <c r="AD5" i="7"/>
  <c r="L876" i="2"/>
  <c r="L874" i="2" s="1"/>
  <c r="L484" i="2" s="1"/>
  <c r="Y49" i="7"/>
  <c r="Y50" i="7" s="1"/>
  <c r="BD111" i="2"/>
  <c r="BD20" i="2"/>
  <c r="BD22" i="2" s="1"/>
  <c r="J90" i="5"/>
  <c r="AS129" i="5"/>
  <c r="AS89" i="5"/>
  <c r="AS90" i="5" s="1"/>
  <c r="AS93" i="5" s="1"/>
  <c r="AB49" i="7"/>
  <c r="AB50" i="7" s="1"/>
  <c r="BB124" i="2"/>
  <c r="BD123" i="2"/>
  <c r="BG212" i="2"/>
  <c r="BG214" i="2"/>
  <c r="AA50" i="7"/>
  <c r="AH2" i="5"/>
  <c r="AH5" i="7"/>
  <c r="AI5" i="2"/>
  <c r="AP90" i="5"/>
  <c r="AP93" i="5" s="1"/>
  <c r="BG65" i="2"/>
  <c r="BG10" i="2"/>
  <c r="AS113" i="5"/>
  <c r="AZ235" i="2"/>
  <c r="D79" i="5"/>
  <c r="D118" i="5"/>
  <c r="AP2" i="5"/>
  <c r="AP5" i="7"/>
  <c r="AQ5" i="2"/>
  <c r="BD211" i="2"/>
  <c r="BB227" i="2"/>
  <c r="BB215" i="2"/>
  <c r="BB16" i="5" s="1"/>
  <c r="BB217" i="2"/>
  <c r="BB244" i="2" s="1"/>
  <c r="BB45" i="2"/>
  <c r="BC129" i="2"/>
  <c r="BC241" i="2" s="1"/>
  <c r="BC127" i="2"/>
  <c r="BC13" i="5" s="1"/>
  <c r="BC126" i="2"/>
  <c r="BC224" i="2"/>
  <c r="BC34" i="2"/>
  <c r="AN113" i="5"/>
  <c r="AI129" i="5"/>
  <c r="AI89" i="5"/>
  <c r="AL90" i="5" s="1"/>
  <c r="AL93" i="5" s="1"/>
  <c r="AI113" i="5"/>
  <c r="BD8" i="5"/>
  <c r="BD796" i="2"/>
  <c r="BE455" i="2"/>
  <c r="BE458" i="2"/>
  <c r="BE400" i="2" s="1"/>
  <c r="AT2" i="5"/>
  <c r="AT5" i="7"/>
  <c r="AY5" i="2"/>
  <c r="AU5" i="2"/>
  <c r="M90" i="6"/>
  <c r="M79" i="6"/>
  <c r="M105" i="6"/>
  <c r="M92" i="6"/>
  <c r="M100" i="6"/>
  <c r="M84" i="6"/>
  <c r="M73" i="6"/>
  <c r="M87" i="6"/>
  <c r="M858" i="2"/>
  <c r="M872" i="2"/>
  <c r="M865" i="2"/>
  <c r="P87" i="6" l="1"/>
  <c r="O87" i="6"/>
  <c r="P73" i="6"/>
  <c r="O73" i="6"/>
  <c r="O84" i="6"/>
  <c r="P84" i="6"/>
  <c r="O100" i="6"/>
  <c r="P100" i="6"/>
  <c r="P92" i="6"/>
  <c r="O92" i="6"/>
  <c r="O105" i="6"/>
  <c r="P105" i="6"/>
  <c r="P79" i="6"/>
  <c r="O79" i="6"/>
  <c r="P90" i="6"/>
  <c r="O90" i="6"/>
  <c r="BD124" i="2"/>
  <c r="BD117" i="2"/>
  <c r="BD27" i="5"/>
  <c r="BE113" i="2"/>
  <c r="BD115" i="2"/>
  <c r="BD26" i="2"/>
  <c r="BD28" i="2" s="1"/>
  <c r="BE22" i="2"/>
  <c r="AV90" i="5"/>
  <c r="AV93" i="5" s="1"/>
  <c r="AU90" i="5"/>
  <c r="AU93" i="5" s="1"/>
  <c r="BB47" i="2"/>
  <c r="BB46" i="2"/>
  <c r="BG22" i="2"/>
  <c r="BD209" i="2"/>
  <c r="BD212" i="2"/>
  <c r="BD214" i="2"/>
  <c r="BE212" i="2"/>
  <c r="AM2" i="5"/>
  <c r="AM5" i="7"/>
  <c r="AN5" i="2"/>
  <c r="AW90" i="5"/>
  <c r="AW93" i="5" s="1"/>
  <c r="AU2" i="5"/>
  <c r="AU5" i="7"/>
  <c r="AV5" i="2"/>
  <c r="AI90" i="5"/>
  <c r="AI93" i="5" s="1"/>
  <c r="AM90" i="5"/>
  <c r="AM93" i="5" s="1"/>
  <c r="AK90" i="5"/>
  <c r="AK93" i="5" s="1"/>
  <c r="BG25" i="5"/>
  <c r="BG12" i="2"/>
  <c r="N1" i="5"/>
  <c r="N877" i="2"/>
  <c r="N3" i="2"/>
  <c r="O4" i="2"/>
  <c r="N4" i="7"/>
  <c r="BB22" i="5"/>
  <c r="BB238" i="2"/>
  <c r="M3" i="7"/>
  <c r="L4" i="5"/>
  <c r="L6" i="5" s="1"/>
  <c r="L10" i="5" s="1"/>
  <c r="L483" i="2"/>
  <c r="L485" i="2" s="1"/>
  <c r="L470" i="2" s="1"/>
  <c r="L471" i="2" s="1"/>
  <c r="L472" i="2" s="1"/>
  <c r="M869" i="2"/>
  <c r="M867" i="2" s="1"/>
  <c r="M864" i="2"/>
  <c r="M855" i="2"/>
  <c r="M853" i="2" s="1"/>
  <c r="M481" i="2" s="1"/>
  <c r="M871" i="2"/>
  <c r="M862" i="2"/>
  <c r="M860" i="2" s="1"/>
  <c r="M482" i="2" s="1"/>
  <c r="M857" i="2"/>
  <c r="BB241" i="2"/>
  <c r="BD129" i="2"/>
  <c r="BD130" i="2" s="1"/>
  <c r="AY2" i="5"/>
  <c r="AY5" i="7"/>
  <c r="AY838" i="2"/>
  <c r="AY839" i="2" s="1"/>
  <c r="BD5" i="2"/>
  <c r="AZ5" i="2"/>
  <c r="AQ2" i="5"/>
  <c r="AQ5" i="7"/>
  <c r="AR5" i="2"/>
  <c r="AI2" i="5"/>
  <c r="AI5" i="7"/>
  <c r="BC227" i="2"/>
  <c r="BC215" i="2"/>
  <c r="BC16" i="5" s="1"/>
  <c r="BC217" i="2"/>
  <c r="BC244" i="2" s="1"/>
  <c r="BC45" i="2"/>
  <c r="N803" i="2"/>
  <c r="N672" i="2"/>
  <c r="O666" i="2"/>
  <c r="O667" i="2" s="1"/>
  <c r="BB19" i="5"/>
  <c r="BB235" i="2"/>
  <c r="BD224" i="2"/>
  <c r="P576" i="2"/>
  <c r="P577" i="2" s="1"/>
  <c r="O577" i="2"/>
  <c r="M876" i="2"/>
  <c r="M874" i="2" s="1"/>
  <c r="M484" i="2" s="1"/>
  <c r="BC19" i="5"/>
  <c r="BC235" i="2"/>
  <c r="AE666" i="2"/>
  <c r="AE667" i="2" s="1"/>
  <c r="Z672" i="2"/>
  <c r="AA666" i="2"/>
  <c r="AA667" i="2" s="1"/>
  <c r="BF22" i="5"/>
  <c r="M878" i="2"/>
  <c r="BE8" i="5"/>
  <c r="BE796" i="2"/>
  <c r="BE453" i="2"/>
  <c r="BE761" i="2" s="1"/>
  <c r="BF455" i="2"/>
  <c r="BF458" i="2" s="1"/>
  <c r="BF400" i="2" s="1"/>
  <c r="BG227" i="2"/>
  <c r="BG215" i="2"/>
  <c r="BG16" i="5" s="1"/>
  <c r="BG45" i="2"/>
  <c r="BG47" i="2" s="1"/>
  <c r="V672" i="2"/>
  <c r="W666" i="2"/>
  <c r="W667" i="2" s="1"/>
  <c r="J672" i="2"/>
  <c r="J803" i="2"/>
  <c r="BD235" i="2"/>
  <c r="BD127" i="2"/>
  <c r="BD13" i="5" s="1"/>
  <c r="BD34" i="2"/>
  <c r="R672" i="2"/>
  <c r="S666" i="2"/>
  <c r="S667" i="2" s="1"/>
  <c r="K4" i="5"/>
  <c r="K483" i="2"/>
  <c r="K485" i="2" s="1"/>
  <c r="K470" i="2" s="1"/>
  <c r="M62" i="6"/>
  <c r="M70" i="6"/>
  <c r="M81" i="6"/>
  <c r="M77" i="6"/>
  <c r="M67" i="6"/>
  <c r="M75" i="6"/>
  <c r="M64" i="6"/>
  <c r="M71" i="6"/>
  <c r="M60" i="6"/>
  <c r="M82" i="6"/>
  <c r="M69" i="6"/>
  <c r="M76" i="6"/>
  <c r="M66" i="6"/>
  <c r="O66" i="6" l="1"/>
  <c r="P66" i="6"/>
  <c r="P76" i="6"/>
  <c r="O76" i="6"/>
  <c r="P69" i="6"/>
  <c r="O69" i="6"/>
  <c r="P82" i="6"/>
  <c r="O82" i="6"/>
  <c r="P60" i="6"/>
  <c r="O60" i="6"/>
  <c r="O71" i="6"/>
  <c r="P71" i="6"/>
  <c r="P64" i="6"/>
  <c r="O64" i="6"/>
  <c r="P75" i="6"/>
  <c r="O75" i="6"/>
  <c r="P67" i="6"/>
  <c r="O67" i="6"/>
  <c r="P77" i="6"/>
  <c r="O77" i="6"/>
  <c r="O81" i="6"/>
  <c r="P81" i="6"/>
  <c r="P70" i="6"/>
  <c r="O70" i="6"/>
  <c r="O62" i="6"/>
  <c r="P62" i="6"/>
  <c r="BE27" i="5"/>
  <c r="BF113" i="2"/>
  <c r="BE26" i="2"/>
  <c r="BE28" i="2" s="1"/>
  <c r="BE121" i="2"/>
  <c r="AA672" i="2"/>
  <c r="AB666" i="2"/>
  <c r="AB667" i="2" s="1"/>
  <c r="BC47" i="2"/>
  <c r="BC46" i="2"/>
  <c r="K471" i="2"/>
  <c r="K474" i="2"/>
  <c r="K477" i="2"/>
  <c r="W672" i="2"/>
  <c r="X666" i="2"/>
  <c r="X667" i="2" s="1"/>
  <c r="Q576" i="2"/>
  <c r="P803" i="2"/>
  <c r="BD244" i="2"/>
  <c r="BD217" i="2"/>
  <c r="BD218" i="2" s="1"/>
  <c r="K121" i="5"/>
  <c r="K118" i="5"/>
  <c r="K6" i="5"/>
  <c r="AE672" i="2"/>
  <c r="S672" i="2"/>
  <c r="T666" i="2"/>
  <c r="T667" i="2" s="1"/>
  <c r="BD19" i="5"/>
  <c r="BC22" i="5"/>
  <c r="BC238" i="2"/>
  <c r="BD238" i="2" s="1"/>
  <c r="BD313" i="2"/>
  <c r="BE130" i="2"/>
  <c r="BD131" i="2"/>
  <c r="BD227" i="2"/>
  <c r="AN2" i="5"/>
  <c r="AN5" i="7"/>
  <c r="BD241" i="2"/>
  <c r="AR2" i="5"/>
  <c r="AR5" i="7"/>
  <c r="AS5" i="2"/>
  <c r="BG22" i="5"/>
  <c r="O1" i="5"/>
  <c r="O877" i="2"/>
  <c r="O3" i="2"/>
  <c r="O851" i="2" s="1"/>
  <c r="P4" i="2"/>
  <c r="O4" i="7"/>
  <c r="BD215" i="2"/>
  <c r="BD16" i="5" s="1"/>
  <c r="BD45" i="2"/>
  <c r="BE215" i="2"/>
  <c r="BE16" i="5" s="1"/>
  <c r="BF8" i="5"/>
  <c r="BF796" i="2"/>
  <c r="BF453" i="2"/>
  <c r="BF761" i="2" s="1"/>
  <c r="BG455" i="2"/>
  <c r="BG458" i="2"/>
  <c r="BG400" i="2" s="1"/>
  <c r="O803" i="2"/>
  <c r="O672" i="2"/>
  <c r="AZ2" i="5"/>
  <c r="AZ5" i="7"/>
  <c r="AZ838" i="2"/>
  <c r="AZ839" i="2" s="1"/>
  <c r="BA5" i="2"/>
  <c r="N3" i="7"/>
  <c r="BD2" i="5"/>
  <c r="BD5" i="7"/>
  <c r="BD838" i="2"/>
  <c r="BD839" i="2" s="1"/>
  <c r="BE5" i="2"/>
  <c r="M4" i="5"/>
  <c r="M6" i="5" s="1"/>
  <c r="M10" i="5" s="1"/>
  <c r="M483" i="2"/>
  <c r="M485" i="2" s="1"/>
  <c r="M470" i="2" s="1"/>
  <c r="M471" i="2" s="1"/>
  <c r="M472" i="2" s="1"/>
  <c r="N851" i="2"/>
  <c r="AV2" i="5"/>
  <c r="AV5" i="7"/>
  <c r="AW5" i="2"/>
  <c r="M42" i="6"/>
  <c r="M56" i="6"/>
  <c r="M50" i="6"/>
  <c r="M40" i="6"/>
  <c r="M58" i="6"/>
  <c r="M48" i="6"/>
  <c r="N858" i="2"/>
  <c r="N872" i="2"/>
  <c r="N865" i="2"/>
  <c r="O858" i="2"/>
  <c r="O872" i="2"/>
  <c r="O865" i="2"/>
  <c r="P48" i="6" l="1"/>
  <c r="O48" i="6"/>
  <c r="O58" i="6"/>
  <c r="P58" i="6"/>
  <c r="P40" i="6"/>
  <c r="O40" i="6"/>
  <c r="P50" i="6"/>
  <c r="O50" i="6"/>
  <c r="P56" i="6"/>
  <c r="O56" i="6"/>
  <c r="P42" i="6"/>
  <c r="O42" i="6"/>
  <c r="O855" i="2"/>
  <c r="O853" i="2" s="1"/>
  <c r="O481" i="2" s="1"/>
  <c r="O871" i="2"/>
  <c r="O862" i="2"/>
  <c r="O860" i="2" s="1"/>
  <c r="O482" i="2" s="1"/>
  <c r="O857" i="2"/>
  <c r="O869" i="2"/>
  <c r="O867" i="2" s="1"/>
  <c r="O864" i="2"/>
  <c r="O876" i="2"/>
  <c r="O874" i="2" s="1"/>
  <c r="O484" i="2" s="1"/>
  <c r="O878" i="2"/>
  <c r="BE2" i="5"/>
  <c r="BE5" i="7"/>
  <c r="BE838" i="2"/>
  <c r="BE839" i="2" s="1"/>
  <c r="BF5" i="2"/>
  <c r="T672" i="2"/>
  <c r="AB672" i="2"/>
  <c r="AC666" i="2"/>
  <c r="AC667" i="2" s="1"/>
  <c r="BD22" i="5"/>
  <c r="BG8" i="5"/>
  <c r="BG796" i="2"/>
  <c r="BG453" i="2"/>
  <c r="BG761" i="2" s="1"/>
  <c r="R576" i="2"/>
  <c r="Q577" i="2"/>
  <c r="Q803" i="2" s="1"/>
  <c r="BE313" i="2"/>
  <c r="BF130" i="2"/>
  <c r="Y666" i="2"/>
  <c r="Y667" i="2" s="1"/>
  <c r="X672" i="2"/>
  <c r="BE122" i="2"/>
  <c r="BE123" i="2"/>
  <c r="BE124" i="2" s="1"/>
  <c r="K10" i="5"/>
  <c r="K122" i="5"/>
  <c r="BF27" i="5"/>
  <c r="BG113" i="2"/>
  <c r="BF26" i="2"/>
  <c r="BF28" i="2" s="1"/>
  <c r="BF121" i="2"/>
  <c r="AW2" i="5"/>
  <c r="AW5" i="7"/>
  <c r="AX5" i="2"/>
  <c r="BA2" i="5"/>
  <c r="BA5" i="7"/>
  <c r="BA838" i="2"/>
  <c r="BA839" i="2" s="1"/>
  <c r="BB5" i="2"/>
  <c r="BD47" i="2"/>
  <c r="BE47" i="2"/>
  <c r="BD316" i="2"/>
  <c r="BD219" i="2"/>
  <c r="BE218" i="2"/>
  <c r="K478" i="2"/>
  <c r="K472" i="2"/>
  <c r="N869" i="2"/>
  <c r="N867" i="2" s="1"/>
  <c r="N864" i="2"/>
  <c r="N855" i="2"/>
  <c r="N853" i="2" s="1"/>
  <c r="N481" i="2" s="1"/>
  <c r="N871" i="2"/>
  <c r="N862" i="2"/>
  <c r="N860" i="2" s="1"/>
  <c r="N482" i="2" s="1"/>
  <c r="N857" i="2"/>
  <c r="N878" i="2"/>
  <c r="N876" i="2"/>
  <c r="N874" i="2" s="1"/>
  <c r="N484" i="2" s="1"/>
  <c r="P1" i="5"/>
  <c r="P877" i="2"/>
  <c r="P3" i="2"/>
  <c r="Q4" i="2"/>
  <c r="P4" i="7"/>
  <c r="AS2" i="5"/>
  <c r="AS5" i="7"/>
  <c r="O706" i="2"/>
  <c r="O3" i="7"/>
  <c r="M34" i="6"/>
  <c r="M10" i="6"/>
  <c r="M20" i="6"/>
  <c r="M54" i="6"/>
  <c r="M26" i="6"/>
  <c r="M12" i="6"/>
  <c r="M46" i="6"/>
  <c r="M18" i="6"/>
  <c r="M28" i="6"/>
  <c r="M38" i="6"/>
  <c r="P38" i="6" l="1"/>
  <c r="O38" i="6"/>
  <c r="P28" i="6"/>
  <c r="O28" i="6"/>
  <c r="P18" i="6"/>
  <c r="O18" i="6"/>
  <c r="P46" i="6"/>
  <c r="O46" i="6"/>
  <c r="P12" i="6"/>
  <c r="O12" i="6"/>
  <c r="P26" i="6"/>
  <c r="O26" i="6"/>
  <c r="P54" i="6"/>
  <c r="O54" i="6"/>
  <c r="P20" i="6"/>
  <c r="O20" i="6"/>
  <c r="P10" i="6"/>
  <c r="O10" i="6"/>
  <c r="O34" i="6"/>
  <c r="P34" i="6"/>
  <c r="BE125" i="2"/>
  <c r="Q1" i="5"/>
  <c r="Q877" i="2"/>
  <c r="Q851" i="2"/>
  <c r="Q3" i="2"/>
  <c r="R4" i="2"/>
  <c r="Q4" i="7"/>
  <c r="AX2" i="5"/>
  <c r="AX5" i="7"/>
  <c r="AX838" i="2"/>
  <c r="L461" i="2"/>
  <c r="M461" i="2"/>
  <c r="N461" i="2"/>
  <c r="O461" i="2"/>
  <c r="N459" i="2"/>
  <c r="M459" i="2"/>
  <c r="L459" i="2"/>
  <c r="O459" i="2"/>
  <c r="L704" i="2"/>
  <c r="N704" i="2"/>
  <c r="L463" i="2"/>
  <c r="M463" i="2"/>
  <c r="O704" i="2"/>
  <c r="O463" i="2"/>
  <c r="M704" i="2"/>
  <c r="N463" i="2"/>
  <c r="P3" i="7"/>
  <c r="L706" i="2"/>
  <c r="M706" i="2"/>
  <c r="N706" i="2"/>
  <c r="Y672" i="2"/>
  <c r="P851" i="2"/>
  <c r="BB2" i="5"/>
  <c r="BB5" i="7"/>
  <c r="BB838" i="2"/>
  <c r="BB839" i="2" s="1"/>
  <c r="BC5" i="2"/>
  <c r="BF123" i="2"/>
  <c r="BF124" i="2" s="1"/>
  <c r="BF122" i="2"/>
  <c r="BF313" i="2"/>
  <c r="BG130" i="2"/>
  <c r="BG313" i="2" s="1"/>
  <c r="AC672" i="2"/>
  <c r="AD666" i="2"/>
  <c r="AD667" i="2" s="1"/>
  <c r="O4" i="5"/>
  <c r="O6" i="5" s="1"/>
  <c r="O10" i="5" s="1"/>
  <c r="O483" i="2"/>
  <c r="O485" i="2" s="1"/>
  <c r="O470" i="2" s="1"/>
  <c r="O471" i="2" s="1"/>
  <c r="O472" i="2" s="1"/>
  <c r="N483" i="2"/>
  <c r="N485" i="2" s="1"/>
  <c r="N470" i="2" s="1"/>
  <c r="N471" i="2" s="1"/>
  <c r="N472" i="2" s="1"/>
  <c r="N4" i="5"/>
  <c r="N6" i="5" s="1"/>
  <c r="N10" i="5" s="1"/>
  <c r="BG27" i="5"/>
  <c r="BG26" i="2"/>
  <c r="BG28" i="2" s="1"/>
  <c r="BG121" i="2"/>
  <c r="K475" i="2"/>
  <c r="K479" i="2"/>
  <c r="K476" i="2"/>
  <c r="S576" i="2"/>
  <c r="R577" i="2"/>
  <c r="R803" i="2" s="1"/>
  <c r="BE316" i="2"/>
  <c r="BF218" i="2"/>
  <c r="BE217" i="2"/>
  <c r="BE244" i="2" s="1"/>
  <c r="K119" i="5"/>
  <c r="K120" i="5"/>
  <c r="K123" i="5"/>
  <c r="BF2" i="5"/>
  <c r="BF5" i="7"/>
  <c r="BF838" i="2"/>
  <c r="BF839" i="2" s="1"/>
  <c r="BG5" i="2"/>
  <c r="P858" i="2"/>
  <c r="P872" i="2"/>
  <c r="P865" i="2"/>
  <c r="Q858" i="2"/>
  <c r="Q872" i="2"/>
  <c r="Q865" i="2"/>
  <c r="M14" i="6"/>
  <c r="M52" i="6"/>
  <c r="M8" i="6"/>
  <c r="M32" i="6"/>
  <c r="M22" i="6"/>
  <c r="M36" i="6"/>
  <c r="M16" i="6"/>
  <c r="M6" i="6"/>
  <c r="M30" i="6"/>
  <c r="M44" i="6"/>
  <c r="M24" i="6"/>
  <c r="O24" i="6" l="1"/>
  <c r="P24" i="6"/>
  <c r="P44" i="6"/>
  <c r="O44" i="6"/>
  <c r="P30" i="6"/>
  <c r="O30" i="6"/>
  <c r="P6" i="6"/>
  <c r="O6" i="6"/>
  <c r="P16" i="6"/>
  <c r="O16" i="6"/>
  <c r="P36" i="6"/>
  <c r="O36" i="6"/>
  <c r="P22" i="6"/>
  <c r="O22" i="6"/>
  <c r="P32" i="6"/>
  <c r="O32" i="6"/>
  <c r="P8" i="6"/>
  <c r="O8" i="6"/>
  <c r="P52" i="6"/>
  <c r="O52" i="6"/>
  <c r="P14" i="6"/>
  <c r="O14" i="6"/>
  <c r="BF125" i="2"/>
  <c r="BC2" i="5"/>
  <c r="BC5" i="7"/>
  <c r="BC838" i="2"/>
  <c r="BC839" i="2" s="1"/>
  <c r="R1" i="5"/>
  <c r="R877" i="2"/>
  <c r="R3" i="2"/>
  <c r="S4" i="2"/>
  <c r="R4" i="7"/>
  <c r="T576" i="2"/>
  <c r="S577" i="2"/>
  <c r="S803" i="2" s="1"/>
  <c r="Q3" i="7"/>
  <c r="Q871" i="2"/>
  <c r="Q862" i="2"/>
  <c r="Q860" i="2" s="1"/>
  <c r="Q482" i="2" s="1"/>
  <c r="Q857" i="2"/>
  <c r="Q869" i="2"/>
  <c r="Q867" i="2" s="1"/>
  <c r="Q864" i="2"/>
  <c r="Q855" i="2"/>
  <c r="Q853" i="2" s="1"/>
  <c r="Q481" i="2" s="1"/>
  <c r="Q878" i="2"/>
  <c r="AD672" i="2"/>
  <c r="P871" i="2"/>
  <c r="P862" i="2"/>
  <c r="P860" i="2" s="1"/>
  <c r="P482" i="2" s="1"/>
  <c r="P857" i="2"/>
  <c r="P869" i="2"/>
  <c r="P867" i="2" s="1"/>
  <c r="P864" i="2"/>
  <c r="P855" i="2"/>
  <c r="P853" i="2" s="1"/>
  <c r="P481" i="2" s="1"/>
  <c r="P876" i="2"/>
  <c r="P874" i="2" s="1"/>
  <c r="P484" i="2" s="1"/>
  <c r="P878" i="2"/>
  <c r="Q876" i="2"/>
  <c r="Q874" i="2" s="1"/>
  <c r="Q484" i="2" s="1"/>
  <c r="BG2" i="5"/>
  <c r="BG5" i="7"/>
  <c r="BG838" i="2"/>
  <c r="BG839" i="2" s="1"/>
  <c r="L14" i="6"/>
  <c r="L102" i="6"/>
  <c r="B76" i="6"/>
  <c r="B26" i="6"/>
  <c r="L20" i="6"/>
  <c r="L6" i="6"/>
  <c r="L46" i="6"/>
  <c r="B69" i="6"/>
  <c r="B87" i="6"/>
  <c r="L54" i="6"/>
  <c r="B100" i="6"/>
  <c r="B94" i="6"/>
  <c r="B77" i="6"/>
  <c r="L26" i="6"/>
  <c r="B12" i="6"/>
  <c r="L82" i="6"/>
  <c r="B14" i="6"/>
  <c r="B99" i="6"/>
  <c r="B107" i="6"/>
  <c r="L24" i="6"/>
  <c r="B62" i="6"/>
  <c r="B48" i="6"/>
  <c r="B40" i="6"/>
  <c r="L10" i="6"/>
  <c r="L67" i="6"/>
  <c r="B52" i="6"/>
  <c r="L50" i="6"/>
  <c r="L76" i="6"/>
  <c r="B90" i="6"/>
  <c r="B60" i="6"/>
  <c r="L110" i="6"/>
  <c r="L12" i="6"/>
  <c r="L92" i="6"/>
  <c r="B6" i="6"/>
  <c r="B108" i="6"/>
  <c r="B102" i="6"/>
  <c r="L73" i="6"/>
  <c r="L40" i="6"/>
  <c r="L48" i="6"/>
  <c r="L56" i="6"/>
  <c r="B34" i="6"/>
  <c r="L94" i="6"/>
  <c r="B42" i="6"/>
  <c r="L77" i="6"/>
  <c r="B8" i="6"/>
  <c r="L66" i="6"/>
  <c r="L36" i="6"/>
  <c r="B86" i="6"/>
  <c r="B30" i="6"/>
  <c r="L99" i="6"/>
  <c r="L22" i="6"/>
  <c r="B20" i="6"/>
  <c r="L38" i="6"/>
  <c r="B64" i="6"/>
  <c r="B67" i="6"/>
  <c r="B89" i="6"/>
  <c r="L79" i="6"/>
  <c r="B95" i="6"/>
  <c r="L96" i="6"/>
  <c r="B892" i="2"/>
  <c r="E7" i="4" s="1"/>
  <c r="L60" i="6"/>
  <c r="L70" i="6"/>
  <c r="L86" i="6"/>
  <c r="L58" i="6"/>
  <c r="B10" i="6"/>
  <c r="B16" i="6"/>
  <c r="B58" i="6"/>
  <c r="B54" i="6"/>
  <c r="L18" i="6"/>
  <c r="L87" i="6"/>
  <c r="B79" i="6"/>
  <c r="B44" i="6"/>
  <c r="L84" i="6"/>
  <c r="B82" i="6"/>
  <c r="B96" i="6"/>
  <c r="B36" i="6"/>
  <c r="L8" i="6"/>
  <c r="B32" i="6"/>
  <c r="L34" i="6"/>
  <c r="B92" i="6"/>
  <c r="L30" i="6"/>
  <c r="L71" i="6"/>
  <c r="B75" i="6"/>
  <c r="L44" i="6"/>
  <c r="L108" i="6"/>
  <c r="B84" i="6"/>
  <c r="L69" i="6"/>
  <c r="L64" i="6"/>
  <c r="B56" i="6"/>
  <c r="L28" i="6"/>
  <c r="B73" i="6"/>
  <c r="B18" i="6"/>
  <c r="L75" i="6"/>
  <c r="B66" i="6"/>
  <c r="B24" i="6"/>
  <c r="L52" i="6"/>
  <c r="B46" i="6"/>
  <c r="B70" i="6"/>
  <c r="L16" i="6"/>
  <c r="B81" i="6"/>
  <c r="L89" i="6"/>
  <c r="B71" i="6"/>
  <c r="B105" i="6"/>
  <c r="L42" i="6"/>
  <c r="B104" i="6"/>
  <c r="B28" i="6"/>
  <c r="B22" i="6"/>
  <c r="L100" i="6"/>
  <c r="L104" i="6"/>
  <c r="B38" i="6"/>
  <c r="L81" i="6"/>
  <c r="L105" i="6"/>
  <c r="L32" i="6"/>
  <c r="B97" i="6"/>
  <c r="B50" i="6"/>
  <c r="L62" i="6"/>
  <c r="L90" i="6"/>
  <c r="BE224" i="2"/>
  <c r="BE127" i="2"/>
  <c r="BE13" i="5" s="1"/>
  <c r="BE34" i="2"/>
  <c r="BE129" i="2"/>
  <c r="BE241" i="2" s="1"/>
  <c r="BG125" i="2"/>
  <c r="BG123" i="2"/>
  <c r="BG124" i="2" s="1"/>
  <c r="BG122" i="2"/>
  <c r="AX839" i="2"/>
  <c r="BB840" i="2" s="1"/>
  <c r="BE238" i="2"/>
  <c r="BF316" i="2"/>
  <c r="BG218" i="2"/>
  <c r="BF217" i="2"/>
  <c r="BF244" i="2" s="1"/>
  <c r="BB842" i="2" l="1"/>
  <c r="BB382" i="2" s="1"/>
  <c r="BB49" i="2" s="1"/>
  <c r="BB847" i="2"/>
  <c r="BB844" i="2"/>
  <c r="BB841" i="2"/>
  <c r="BB318" i="2" s="1"/>
  <c r="BB260" i="2" s="1"/>
  <c r="BB843" i="2"/>
  <c r="BB845" i="2"/>
  <c r="BB846" i="2"/>
  <c r="BG316" i="2"/>
  <c r="BG217" i="2"/>
  <c r="BG244" i="2" s="1"/>
  <c r="P4" i="5"/>
  <c r="P483" i="2"/>
  <c r="P485" i="2" s="1"/>
  <c r="P470" i="2" s="1"/>
  <c r="U576" i="2"/>
  <c r="U577" i="2" s="1"/>
  <c r="T577" i="2"/>
  <c r="T803" i="2" s="1"/>
  <c r="BF127" i="2"/>
  <c r="BF13" i="5" s="1"/>
  <c r="BF224" i="2"/>
  <c r="BF129" i="2"/>
  <c r="BF241" i="2" s="1"/>
  <c r="BF34" i="2"/>
  <c r="Q4" i="5"/>
  <c r="Q6" i="5" s="1"/>
  <c r="Q10" i="5" s="1"/>
  <c r="Q483" i="2"/>
  <c r="Q485" i="2" s="1"/>
  <c r="Q470" i="2" s="1"/>
  <c r="Q471" i="2" s="1"/>
  <c r="Q472" i="2" s="1"/>
  <c r="S1" i="5"/>
  <c r="S877" i="2"/>
  <c r="S3" i="2"/>
  <c r="T4" i="2"/>
  <c r="S4" i="7"/>
  <c r="BG840" i="2"/>
  <c r="R3" i="7"/>
  <c r="R851" i="2"/>
  <c r="BG224" i="2"/>
  <c r="BG127" i="2"/>
  <c r="BG13" i="5" s="1"/>
  <c r="BG129" i="2"/>
  <c r="BG241" i="2" s="1"/>
  <c r="BG34" i="2"/>
  <c r="BE19" i="5"/>
  <c r="BE235" i="2"/>
  <c r="AX840" i="2"/>
  <c r="AY840" i="2"/>
  <c r="BD840" i="2"/>
  <c r="AZ840" i="2"/>
  <c r="BE840" i="2"/>
  <c r="BA840" i="2"/>
  <c r="BC840" i="2"/>
  <c r="BF238" i="2"/>
  <c r="BF840" i="2"/>
  <c r="R865" i="2"/>
  <c r="R858" i="2"/>
  <c r="R872" i="2"/>
  <c r="AX846" i="2" l="1"/>
  <c r="AX847" i="2"/>
  <c r="AX842" i="2"/>
  <c r="AX382" i="2" s="1"/>
  <c r="AX49" i="2" s="1"/>
  <c r="AX843" i="2"/>
  <c r="AX844" i="2"/>
  <c r="AX841" i="2"/>
  <c r="AX318" i="2" s="1"/>
  <c r="AX260" i="2" s="1"/>
  <c r="AX845" i="2"/>
  <c r="V576" i="2"/>
  <c r="U803" i="2"/>
  <c r="P477" i="2"/>
  <c r="P474" i="2"/>
  <c r="P471" i="2"/>
  <c r="P6" i="5"/>
  <c r="P121" i="5"/>
  <c r="P118" i="5"/>
  <c r="BF846" i="2"/>
  <c r="BF847" i="2"/>
  <c r="BF845" i="2"/>
  <c r="BF841" i="2"/>
  <c r="BF318" i="2" s="1"/>
  <c r="BF260" i="2" s="1"/>
  <c r="BF844" i="2"/>
  <c r="BF842" i="2"/>
  <c r="BF382" i="2" s="1"/>
  <c r="BF49" i="2" s="1"/>
  <c r="BF843" i="2"/>
  <c r="BG238" i="2"/>
  <c r="BG847" i="2"/>
  <c r="BG844" i="2"/>
  <c r="BG841" i="2"/>
  <c r="BG318" i="2" s="1"/>
  <c r="BG260" i="2" s="1"/>
  <c r="BG842" i="2"/>
  <c r="BG382" i="2" s="1"/>
  <c r="BG49" i="2" s="1"/>
  <c r="BG843" i="2"/>
  <c r="BG845" i="2"/>
  <c r="BG846" i="2"/>
  <c r="BC843" i="2"/>
  <c r="BC844" i="2"/>
  <c r="BC842" i="2"/>
  <c r="BC382" i="2" s="1"/>
  <c r="BC49" i="2" s="1"/>
  <c r="BC846" i="2"/>
  <c r="BC841" i="2"/>
  <c r="BC318" i="2" s="1"/>
  <c r="BC260" i="2" s="1"/>
  <c r="BC847" i="2"/>
  <c r="BC845" i="2"/>
  <c r="T877" i="2"/>
  <c r="T1" i="5"/>
  <c r="T3" i="2"/>
  <c r="U4" i="2"/>
  <c r="T4" i="7"/>
  <c r="BA841" i="2"/>
  <c r="BA318" i="2" s="1"/>
  <c r="BA260" i="2" s="1"/>
  <c r="BA846" i="2"/>
  <c r="BA847" i="2"/>
  <c r="BA845" i="2"/>
  <c r="BA844" i="2"/>
  <c r="BA843" i="2"/>
  <c r="BA842" i="2"/>
  <c r="BA382" i="2" s="1"/>
  <c r="BA49" i="2" s="1"/>
  <c r="S3" i="7"/>
  <c r="BE847" i="2"/>
  <c r="BE843" i="2"/>
  <c r="BE844" i="2"/>
  <c r="BE845" i="2"/>
  <c r="BE841" i="2"/>
  <c r="BE318" i="2" s="1"/>
  <c r="BE260" i="2" s="1"/>
  <c r="BE842" i="2"/>
  <c r="BE382" i="2" s="1"/>
  <c r="BE49" i="2" s="1"/>
  <c r="BE846" i="2"/>
  <c r="S851" i="2"/>
  <c r="BF19" i="5"/>
  <c r="BF235" i="2"/>
  <c r="AZ841" i="2"/>
  <c r="AZ318" i="2" s="1"/>
  <c r="AZ260" i="2" s="1"/>
  <c r="AZ844" i="2"/>
  <c r="AZ843" i="2"/>
  <c r="AZ842" i="2"/>
  <c r="AZ382" i="2" s="1"/>
  <c r="AZ49" i="2" s="1"/>
  <c r="AZ847" i="2"/>
  <c r="AZ845" i="2"/>
  <c r="AZ846" i="2"/>
  <c r="BD844" i="2"/>
  <c r="BD845" i="2"/>
  <c r="BD842" i="2"/>
  <c r="BD382" i="2" s="1"/>
  <c r="BD49" i="2" s="1"/>
  <c r="BD843" i="2"/>
  <c r="BD847" i="2"/>
  <c r="BD841" i="2"/>
  <c r="BD318" i="2" s="1"/>
  <c r="BD260" i="2" s="1"/>
  <c r="BD846" i="2"/>
  <c r="BG19" i="5"/>
  <c r="BG235" i="2"/>
  <c r="AY841" i="2"/>
  <c r="AY318" i="2" s="1"/>
  <c r="AY260" i="2" s="1"/>
  <c r="AY842" i="2"/>
  <c r="AY382" i="2" s="1"/>
  <c r="AY49" i="2" s="1"/>
  <c r="AY845" i="2"/>
  <c r="AY846" i="2"/>
  <c r="AY847" i="2"/>
  <c r="AY844" i="2"/>
  <c r="AY843" i="2"/>
  <c r="R871" i="2"/>
  <c r="R862" i="2"/>
  <c r="R860" i="2" s="1"/>
  <c r="R482" i="2" s="1"/>
  <c r="R857" i="2"/>
  <c r="R869" i="2"/>
  <c r="R867" i="2" s="1"/>
  <c r="R864" i="2"/>
  <c r="R855" i="2"/>
  <c r="R853" i="2" s="1"/>
  <c r="R481" i="2" s="1"/>
  <c r="R876" i="2"/>
  <c r="R874" i="2" s="1"/>
  <c r="R484" i="2" s="1"/>
  <c r="R878" i="2"/>
  <c r="S865" i="2"/>
  <c r="S858" i="2"/>
  <c r="S872" i="2"/>
  <c r="U877" i="2" l="1"/>
  <c r="U1" i="5"/>
  <c r="U3" i="2"/>
  <c r="V4" i="2"/>
  <c r="U4" i="7"/>
  <c r="P472" i="2"/>
  <c r="P478" i="2"/>
  <c r="T3" i="7"/>
  <c r="T851" i="2"/>
  <c r="W576" i="2"/>
  <c r="V577" i="2"/>
  <c r="V803" i="2" s="1"/>
  <c r="R483" i="2"/>
  <c r="R485" i="2" s="1"/>
  <c r="R470" i="2" s="1"/>
  <c r="R471" i="2" s="1"/>
  <c r="R472" i="2" s="1"/>
  <c r="R4" i="5"/>
  <c r="R6" i="5" s="1"/>
  <c r="R10" i="5" s="1"/>
  <c r="S871" i="2"/>
  <c r="S862" i="2"/>
  <c r="S860" i="2" s="1"/>
  <c r="S482" i="2" s="1"/>
  <c r="S857" i="2"/>
  <c r="S869" i="2"/>
  <c r="S867" i="2" s="1"/>
  <c r="S864" i="2"/>
  <c r="S855" i="2"/>
  <c r="S853" i="2" s="1"/>
  <c r="S481" i="2" s="1"/>
  <c r="S876" i="2"/>
  <c r="S874" i="2" s="1"/>
  <c r="S484" i="2" s="1"/>
  <c r="S878" i="2"/>
  <c r="P10" i="5"/>
  <c r="P122" i="5"/>
  <c r="T865" i="2"/>
  <c r="T858" i="2"/>
  <c r="T872" i="2"/>
  <c r="P475" i="2" l="1"/>
  <c r="P479" i="2"/>
  <c r="P476" i="2"/>
  <c r="P119" i="5"/>
  <c r="P123" i="5"/>
  <c r="P120" i="5"/>
  <c r="V877" i="2"/>
  <c r="V1" i="5"/>
  <c r="V851" i="2"/>
  <c r="W4" i="2"/>
  <c r="V3" i="2"/>
  <c r="V4" i="7"/>
  <c r="Q461" i="2"/>
  <c r="R461" i="2"/>
  <c r="T461" i="2"/>
  <c r="S461" i="2"/>
  <c r="R459" i="2"/>
  <c r="S459" i="2"/>
  <c r="T459" i="2"/>
  <c r="Q459" i="2"/>
  <c r="S704" i="2"/>
  <c r="R463" i="2"/>
  <c r="T463" i="2"/>
  <c r="R704" i="2"/>
  <c r="Q463" i="2"/>
  <c r="S463" i="2"/>
  <c r="T704" i="2"/>
  <c r="Q704" i="2"/>
  <c r="U3" i="7"/>
  <c r="Q706" i="2"/>
  <c r="R706" i="2"/>
  <c r="S706" i="2"/>
  <c r="X576" i="2"/>
  <c r="W577" i="2"/>
  <c r="W803" i="2" s="1"/>
  <c r="U851" i="2"/>
  <c r="T871" i="2"/>
  <c r="T862" i="2"/>
  <c r="T860" i="2" s="1"/>
  <c r="T482" i="2" s="1"/>
  <c r="T857" i="2"/>
  <c r="T869" i="2"/>
  <c r="T867" i="2" s="1"/>
  <c r="T864" i="2"/>
  <c r="T855" i="2"/>
  <c r="T853" i="2" s="1"/>
  <c r="T481" i="2" s="1"/>
  <c r="T876" i="2"/>
  <c r="T874" i="2" s="1"/>
  <c r="T484" i="2" s="1"/>
  <c r="T878" i="2"/>
  <c r="S4" i="5"/>
  <c r="S6" i="5" s="1"/>
  <c r="S10" i="5" s="1"/>
  <c r="S483" i="2"/>
  <c r="S485" i="2" s="1"/>
  <c r="S470" i="2" s="1"/>
  <c r="S471" i="2" s="1"/>
  <c r="S472" i="2" s="1"/>
  <c r="T706" i="2"/>
  <c r="U865" i="2"/>
  <c r="U858" i="2"/>
  <c r="U872" i="2"/>
  <c r="V865" i="2"/>
  <c r="V858" i="2"/>
  <c r="V872" i="2"/>
  <c r="W877" i="2" l="1"/>
  <c r="W1" i="5"/>
  <c r="X4" i="2"/>
  <c r="W3" i="2"/>
  <c r="W4" i="7"/>
  <c r="Y576" i="2"/>
  <c r="X577" i="2"/>
  <c r="X803" i="2" s="1"/>
  <c r="V869" i="2"/>
  <c r="V867" i="2" s="1"/>
  <c r="V864" i="2"/>
  <c r="V855" i="2"/>
  <c r="V853" i="2" s="1"/>
  <c r="V481" i="2" s="1"/>
  <c r="V871" i="2"/>
  <c r="V862" i="2"/>
  <c r="V860" i="2" s="1"/>
  <c r="V482" i="2" s="1"/>
  <c r="V857" i="2"/>
  <c r="V876" i="2"/>
  <c r="V874" i="2" s="1"/>
  <c r="V484" i="2" s="1"/>
  <c r="V878" i="2"/>
  <c r="T4" i="5"/>
  <c r="T6" i="5" s="1"/>
  <c r="T10" i="5" s="1"/>
  <c r="T483" i="2"/>
  <c r="T485" i="2" s="1"/>
  <c r="T470" i="2" s="1"/>
  <c r="T471" i="2" s="1"/>
  <c r="T472" i="2" s="1"/>
  <c r="U857" i="2"/>
  <c r="U869" i="2"/>
  <c r="U867" i="2" s="1"/>
  <c r="U864" i="2"/>
  <c r="U855" i="2"/>
  <c r="U853" i="2" s="1"/>
  <c r="U481" i="2" s="1"/>
  <c r="U871" i="2"/>
  <c r="U862" i="2"/>
  <c r="U860" i="2" s="1"/>
  <c r="U482" i="2" s="1"/>
  <c r="U878" i="2"/>
  <c r="U876" i="2"/>
  <c r="U874" i="2" s="1"/>
  <c r="U484" i="2" s="1"/>
  <c r="V3" i="7"/>
  <c r="V4" i="5" l="1"/>
  <c r="V6" i="5" s="1"/>
  <c r="V10" i="5" s="1"/>
  <c r="V483" i="2"/>
  <c r="V485" i="2" s="1"/>
  <c r="V470" i="2" s="1"/>
  <c r="V471" i="2" s="1"/>
  <c r="V472" i="2" s="1"/>
  <c r="U4" i="5"/>
  <c r="U483" i="2"/>
  <c r="U485" i="2" s="1"/>
  <c r="U470" i="2" s="1"/>
  <c r="Z576" i="2"/>
  <c r="Z577" i="2" s="1"/>
  <c r="Y577" i="2"/>
  <c r="Y803" i="2" s="1"/>
  <c r="W3" i="7"/>
  <c r="X1" i="5"/>
  <c r="X877" i="2"/>
  <c r="X851" i="2"/>
  <c r="X878" i="2" s="1"/>
  <c r="X3" i="2"/>
  <c r="Y4" i="2"/>
  <c r="X4" i="7"/>
  <c r="W851" i="2"/>
  <c r="X872" i="2"/>
  <c r="X865" i="2"/>
  <c r="X858" i="2"/>
  <c r="W865" i="2"/>
  <c r="W858" i="2"/>
  <c r="W872" i="2"/>
  <c r="X876" i="2" l="1"/>
  <c r="X874" i="2" s="1"/>
  <c r="X484" i="2" s="1"/>
  <c r="W869" i="2"/>
  <c r="W867" i="2" s="1"/>
  <c r="W864" i="2"/>
  <c r="W855" i="2"/>
  <c r="W853" i="2" s="1"/>
  <c r="W481" i="2" s="1"/>
  <c r="W871" i="2"/>
  <c r="W862" i="2"/>
  <c r="W860" i="2" s="1"/>
  <c r="W482" i="2" s="1"/>
  <c r="W857" i="2"/>
  <c r="W878" i="2"/>
  <c r="W876" i="2"/>
  <c r="W874" i="2" s="1"/>
  <c r="W484" i="2" s="1"/>
  <c r="AA576" i="2"/>
  <c r="Z803" i="2"/>
  <c r="U474" i="2"/>
  <c r="U471" i="2"/>
  <c r="U477" i="2"/>
  <c r="Y1" i="5"/>
  <c r="Y877" i="2"/>
  <c r="Y851" i="2"/>
  <c r="Y3" i="2"/>
  <c r="Z4" i="2"/>
  <c r="Y4" i="7"/>
  <c r="U6" i="5"/>
  <c r="U121" i="5"/>
  <c r="U118" i="5"/>
  <c r="X3" i="7"/>
  <c r="X869" i="2"/>
  <c r="X867" i="2" s="1"/>
  <c r="X864" i="2"/>
  <c r="X855" i="2"/>
  <c r="X853" i="2" s="1"/>
  <c r="X481" i="2" s="1"/>
  <c r="X871" i="2"/>
  <c r="X862" i="2"/>
  <c r="X860" i="2" s="1"/>
  <c r="X482" i="2" s="1"/>
  <c r="X857" i="2"/>
  <c r="Y858" i="2"/>
  <c r="Y872" i="2"/>
  <c r="Y865" i="2"/>
  <c r="U472" i="2" l="1"/>
  <c r="U478" i="2"/>
  <c r="U10" i="5"/>
  <c r="U122" i="5"/>
  <c r="AB576" i="2"/>
  <c r="AA577" i="2"/>
  <c r="AA803" i="2" s="1"/>
  <c r="Z1" i="5"/>
  <c r="Z877" i="2"/>
  <c r="Z3" i="2"/>
  <c r="AA4" i="2"/>
  <c r="Z4" i="7"/>
  <c r="Y3" i="7"/>
  <c r="Y869" i="2"/>
  <c r="Y867" i="2" s="1"/>
  <c r="Y864" i="2"/>
  <c r="Y855" i="2"/>
  <c r="Y853" i="2" s="1"/>
  <c r="Y481" i="2" s="1"/>
  <c r="Y871" i="2"/>
  <c r="Y862" i="2"/>
  <c r="Y860" i="2" s="1"/>
  <c r="Y482" i="2" s="1"/>
  <c r="Y857" i="2"/>
  <c r="Y876" i="2"/>
  <c r="Y874" i="2" s="1"/>
  <c r="Y484" i="2" s="1"/>
  <c r="X4" i="5"/>
  <c r="X6" i="5" s="1"/>
  <c r="X10" i="5" s="1"/>
  <c r="X483" i="2"/>
  <c r="X485" i="2" s="1"/>
  <c r="X470" i="2" s="1"/>
  <c r="X471" i="2" s="1"/>
  <c r="X472" i="2" s="1"/>
  <c r="Y878" i="2"/>
  <c r="W483" i="2"/>
  <c r="W485" i="2" s="1"/>
  <c r="W470" i="2" s="1"/>
  <c r="W471" i="2" s="1"/>
  <c r="W472" i="2" s="1"/>
  <c r="W4" i="5"/>
  <c r="W6" i="5" s="1"/>
  <c r="W10" i="5" s="1"/>
  <c r="W461" i="2" l="1"/>
  <c r="V704" i="2"/>
  <c r="X461" i="2"/>
  <c r="Y461" i="2"/>
  <c r="W704" i="2"/>
  <c r="V461" i="2"/>
  <c r="Y459" i="2"/>
  <c r="V459" i="2"/>
  <c r="X459" i="2"/>
  <c r="W459" i="2"/>
  <c r="Y704" i="2"/>
  <c r="X463" i="2"/>
  <c r="W463" i="2"/>
  <c r="X704" i="2"/>
  <c r="Y463" i="2"/>
  <c r="V463" i="2"/>
  <c r="Z3" i="7"/>
  <c r="V706" i="2"/>
  <c r="W706" i="2"/>
  <c r="X706" i="2"/>
  <c r="Z851" i="2"/>
  <c r="Y4" i="5"/>
  <c r="Y6" i="5" s="1"/>
  <c r="Y10" i="5" s="1"/>
  <c r="Y483" i="2"/>
  <c r="Y485" i="2" s="1"/>
  <c r="Y470" i="2" s="1"/>
  <c r="Y471" i="2" s="1"/>
  <c r="Y472" i="2" s="1"/>
  <c r="AC576" i="2"/>
  <c r="AB577" i="2"/>
  <c r="AB803" i="2" s="1"/>
  <c r="Y706" i="2"/>
  <c r="U119" i="5"/>
  <c r="U123" i="5"/>
  <c r="U120" i="5"/>
  <c r="AA1" i="5"/>
  <c r="AA877" i="2"/>
  <c r="AA851" i="2"/>
  <c r="AA878" i="2" s="1"/>
  <c r="AA3" i="2"/>
  <c r="AB4" i="2"/>
  <c r="AA4" i="7"/>
  <c r="U475" i="2"/>
  <c r="U479" i="2"/>
  <c r="U476" i="2"/>
  <c r="AA858" i="2"/>
  <c r="AA872" i="2"/>
  <c r="AA865" i="2"/>
  <c r="Z858" i="2"/>
  <c r="Z872" i="2"/>
  <c r="Z865" i="2"/>
  <c r="AB1" i="5" l="1"/>
  <c r="AB877" i="2"/>
  <c r="AB3" i="2"/>
  <c r="AC4" i="2"/>
  <c r="AB4" i="7"/>
  <c r="AD576" i="2"/>
  <c r="AC577" i="2"/>
  <c r="AC803" i="2" s="1"/>
  <c r="AA3" i="7"/>
  <c r="Z869" i="2"/>
  <c r="Z867" i="2" s="1"/>
  <c r="Z864" i="2"/>
  <c r="Z855" i="2"/>
  <c r="Z853" i="2" s="1"/>
  <c r="Z481" i="2" s="1"/>
  <c r="Z871" i="2"/>
  <c r="Z862" i="2"/>
  <c r="Z860" i="2" s="1"/>
  <c r="Z482" i="2" s="1"/>
  <c r="Z857" i="2"/>
  <c r="Z878" i="2"/>
  <c r="Z876" i="2"/>
  <c r="Z874" i="2" s="1"/>
  <c r="Z484" i="2" s="1"/>
  <c r="AA855" i="2"/>
  <c r="AA853" i="2" s="1"/>
  <c r="AA481" i="2" s="1"/>
  <c r="AA871" i="2"/>
  <c r="AA862" i="2"/>
  <c r="AA860" i="2" s="1"/>
  <c r="AA482" i="2" s="1"/>
  <c r="AA857" i="2"/>
  <c r="AA869" i="2"/>
  <c r="AA867" i="2" s="1"/>
  <c r="AA864" i="2"/>
  <c r="AA876" i="2"/>
  <c r="AA874" i="2" s="1"/>
  <c r="AA484" i="2" s="1"/>
  <c r="Z483" i="2" l="1"/>
  <c r="Z485" i="2" s="1"/>
  <c r="Z470" i="2" s="1"/>
  <c r="Z4" i="5"/>
  <c r="AE576" i="2"/>
  <c r="AE577" i="2" s="1"/>
  <c r="AE803" i="2" s="1"/>
  <c r="AD577" i="2"/>
  <c r="AD803" i="2" s="1"/>
  <c r="AC1" i="5"/>
  <c r="AC876" i="2"/>
  <c r="AC874" i="2" s="1"/>
  <c r="AC484" i="2" s="1"/>
  <c r="AC877" i="2"/>
  <c r="AC878" i="2"/>
  <c r="AC851" i="2"/>
  <c r="AD4" i="2"/>
  <c r="AC3" i="2"/>
  <c r="AC4" i="7"/>
  <c r="AB3" i="7"/>
  <c r="AB851" i="2"/>
  <c r="AA4" i="5"/>
  <c r="AA6" i="5" s="1"/>
  <c r="AA10" i="5" s="1"/>
  <c r="AA483" i="2"/>
  <c r="AA485" i="2" s="1"/>
  <c r="AA470" i="2" s="1"/>
  <c r="AA471" i="2" s="1"/>
  <c r="AA472" i="2" s="1"/>
  <c r="AB858" i="2"/>
  <c r="AB872" i="2"/>
  <c r="AB865" i="2"/>
  <c r="AC858" i="2"/>
  <c r="AC872" i="2"/>
  <c r="AC865" i="2"/>
  <c r="AC3" i="7" l="1"/>
  <c r="AD1" i="5"/>
  <c r="AD876" i="2"/>
  <c r="AD874" i="2" s="1"/>
  <c r="AD484" i="2" s="1"/>
  <c r="AD877" i="2"/>
  <c r="AD878" i="2"/>
  <c r="AD851" i="2"/>
  <c r="AD3" i="2"/>
  <c r="AE4" i="2"/>
  <c r="AD4" i="7"/>
  <c r="AC871" i="2"/>
  <c r="AC862" i="2"/>
  <c r="AC860" i="2" s="1"/>
  <c r="AC482" i="2" s="1"/>
  <c r="AC857" i="2"/>
  <c r="AC869" i="2"/>
  <c r="AC867" i="2" s="1"/>
  <c r="AC864" i="2"/>
  <c r="AC855" i="2"/>
  <c r="AC853" i="2" s="1"/>
  <c r="AC481" i="2" s="1"/>
  <c r="AB871" i="2"/>
  <c r="AB862" i="2"/>
  <c r="AB860" i="2" s="1"/>
  <c r="AB482" i="2" s="1"/>
  <c r="AB857" i="2"/>
  <c r="AB869" i="2"/>
  <c r="AB867" i="2" s="1"/>
  <c r="AB864" i="2"/>
  <c r="AB855" i="2"/>
  <c r="AB853" i="2" s="1"/>
  <c r="AB481" i="2" s="1"/>
  <c r="AB876" i="2"/>
  <c r="AB874" i="2" s="1"/>
  <c r="AB484" i="2" s="1"/>
  <c r="AB878" i="2"/>
  <c r="Z118" i="5"/>
  <c r="Z121" i="5"/>
  <c r="Z6" i="5"/>
  <c r="Z477" i="2"/>
  <c r="Z471" i="2"/>
  <c r="Z474" i="2"/>
  <c r="AD865" i="2"/>
  <c r="AD858" i="2"/>
  <c r="AD872" i="2"/>
  <c r="AE1" i="5" l="1"/>
  <c r="AE877" i="2"/>
  <c r="AE878" i="2"/>
  <c r="AE851" i="2"/>
  <c r="AF4" i="2"/>
  <c r="AE3" i="2"/>
  <c r="AE4" i="7"/>
  <c r="AB4" i="5"/>
  <c r="AB6" i="5" s="1"/>
  <c r="AB10" i="5" s="1"/>
  <c r="AB483" i="2"/>
  <c r="AB485" i="2" s="1"/>
  <c r="AB470" i="2" s="1"/>
  <c r="AB471" i="2" s="1"/>
  <c r="AB472" i="2" s="1"/>
  <c r="AD706" i="2"/>
  <c r="AD3" i="7"/>
  <c r="AD871" i="2"/>
  <c r="AD862" i="2"/>
  <c r="AD860" i="2" s="1"/>
  <c r="AD482" i="2" s="1"/>
  <c r="AD857" i="2"/>
  <c r="AD869" i="2"/>
  <c r="AD867" i="2" s="1"/>
  <c r="AD864" i="2"/>
  <c r="AD855" i="2"/>
  <c r="AD853" i="2" s="1"/>
  <c r="AD481" i="2" s="1"/>
  <c r="Z478" i="2"/>
  <c r="Z472" i="2"/>
  <c r="Z122" i="5"/>
  <c r="Z10" i="5"/>
  <c r="AC4" i="5"/>
  <c r="AC6" i="5" s="1"/>
  <c r="AC10" i="5" s="1"/>
  <c r="AC483" i="2"/>
  <c r="AC485" i="2" s="1"/>
  <c r="AC470" i="2" s="1"/>
  <c r="AC471" i="2" s="1"/>
  <c r="AC472" i="2" s="1"/>
  <c r="AE865" i="2"/>
  <c r="AE858" i="2"/>
  <c r="AE872" i="2"/>
  <c r="Z119" i="5" l="1"/>
  <c r="Z123" i="5"/>
  <c r="Z120" i="5"/>
  <c r="Z475" i="2"/>
  <c r="Z479" i="2"/>
  <c r="Z476" i="2"/>
  <c r="AA461" i="2"/>
  <c r="AB704" i="2"/>
  <c r="AC461" i="2"/>
  <c r="AB461" i="2"/>
  <c r="AD704" i="2"/>
  <c r="AD461" i="2"/>
  <c r="AC704" i="2"/>
  <c r="AA704" i="2"/>
  <c r="AA459" i="2"/>
  <c r="AC459" i="2"/>
  <c r="AB459" i="2"/>
  <c r="AD459" i="2"/>
  <c r="AC463" i="2"/>
  <c r="AD463" i="2"/>
  <c r="AB463" i="2"/>
  <c r="AA463" i="2"/>
  <c r="AE3" i="7"/>
  <c r="AA706" i="2"/>
  <c r="AB706" i="2"/>
  <c r="AC706" i="2"/>
  <c r="AF876" i="2"/>
  <c r="AF874" i="2" s="1"/>
  <c r="AF484" i="2" s="1"/>
  <c r="AF877" i="2"/>
  <c r="AF878" i="2"/>
  <c r="AF1" i="5"/>
  <c r="AF851" i="2"/>
  <c r="AF3" i="2"/>
  <c r="AG4" i="2"/>
  <c r="AF4" i="7"/>
  <c r="AE871" i="2"/>
  <c r="AE862" i="2"/>
  <c r="AE860" i="2" s="1"/>
  <c r="AE482" i="2" s="1"/>
  <c r="AE857" i="2"/>
  <c r="AE869" i="2"/>
  <c r="AE867" i="2" s="1"/>
  <c r="AE864" i="2"/>
  <c r="AE855" i="2"/>
  <c r="AE853" i="2" s="1"/>
  <c r="AE481" i="2" s="1"/>
  <c r="AD483" i="2"/>
  <c r="AD485" i="2" s="1"/>
  <c r="AD470" i="2" s="1"/>
  <c r="AD471" i="2" s="1"/>
  <c r="AD472" i="2" s="1"/>
  <c r="AD4" i="5"/>
  <c r="AD6" i="5" s="1"/>
  <c r="AD10" i="5" s="1"/>
  <c r="AE876" i="2"/>
  <c r="AE874" i="2" s="1"/>
  <c r="AE484" i="2" s="1"/>
  <c r="AF865" i="2"/>
  <c r="AF858" i="2"/>
  <c r="AF872" i="2"/>
  <c r="AG877" i="2" l="1"/>
  <c r="AG1" i="5"/>
  <c r="AG876" i="2"/>
  <c r="AG874" i="2" s="1"/>
  <c r="AG484" i="2" s="1"/>
  <c r="AG851" i="2"/>
  <c r="AG3" i="2"/>
  <c r="AH4" i="2"/>
  <c r="AG4" i="7"/>
  <c r="AF3" i="7"/>
  <c r="AF871" i="2"/>
  <c r="AF862" i="2"/>
  <c r="AF860" i="2" s="1"/>
  <c r="AF482" i="2" s="1"/>
  <c r="AF857" i="2"/>
  <c r="AF869" i="2"/>
  <c r="AF867" i="2" s="1"/>
  <c r="AF864" i="2"/>
  <c r="AF855" i="2"/>
  <c r="AF853" i="2" s="1"/>
  <c r="AF481" i="2" s="1"/>
  <c r="AE4" i="5"/>
  <c r="AE483" i="2"/>
  <c r="AE485" i="2" s="1"/>
  <c r="AE470" i="2" s="1"/>
  <c r="AG865" i="2"/>
  <c r="AG858" i="2"/>
  <c r="AG872" i="2"/>
  <c r="AH877" i="2" l="1"/>
  <c r="AH878" i="2"/>
  <c r="AH1" i="5"/>
  <c r="AH876" i="2"/>
  <c r="AH874" i="2" s="1"/>
  <c r="AH484" i="2" s="1"/>
  <c r="AH851" i="2"/>
  <c r="AI4" i="2"/>
  <c r="AH3" i="2"/>
  <c r="AH4" i="7"/>
  <c r="AE477" i="2"/>
  <c r="AE471" i="2"/>
  <c r="AE474" i="2"/>
  <c r="AG3" i="7"/>
  <c r="AE121" i="5"/>
  <c r="AE6" i="5"/>
  <c r="AE118" i="5"/>
  <c r="AG857" i="2"/>
  <c r="AG869" i="2"/>
  <c r="AG867" i="2" s="1"/>
  <c r="AG864" i="2"/>
  <c r="AG855" i="2"/>
  <c r="AG853" i="2" s="1"/>
  <c r="AG481" i="2" s="1"/>
  <c r="AG871" i="2"/>
  <c r="AG862" i="2"/>
  <c r="AG860" i="2" s="1"/>
  <c r="AG482" i="2" s="1"/>
  <c r="AF4" i="5"/>
  <c r="AF6" i="5" s="1"/>
  <c r="AF10" i="5" s="1"/>
  <c r="AF483" i="2"/>
  <c r="AF485" i="2" s="1"/>
  <c r="AF470" i="2" s="1"/>
  <c r="AF471" i="2" s="1"/>
  <c r="AF472" i="2" s="1"/>
  <c r="AG878" i="2"/>
  <c r="AH865" i="2"/>
  <c r="AH858" i="2"/>
  <c r="AH872" i="2"/>
  <c r="AE478" i="2" l="1"/>
  <c r="AE472" i="2"/>
  <c r="AH3" i="7"/>
  <c r="AG4" i="5"/>
  <c r="AG6" i="5" s="1"/>
  <c r="AG10" i="5" s="1"/>
  <c r="AG483" i="2"/>
  <c r="AG485" i="2" s="1"/>
  <c r="AG470" i="2" s="1"/>
  <c r="AG471" i="2" s="1"/>
  <c r="AG472" i="2" s="1"/>
  <c r="AI877" i="2"/>
  <c r="AI1" i="5"/>
  <c r="AJ4" i="2"/>
  <c r="AI3" i="2"/>
  <c r="AI4" i="7"/>
  <c r="AH869" i="2"/>
  <c r="AH867" i="2" s="1"/>
  <c r="AH864" i="2"/>
  <c r="AH855" i="2"/>
  <c r="AH853" i="2" s="1"/>
  <c r="AH481" i="2" s="1"/>
  <c r="AH871" i="2"/>
  <c r="AH862" i="2"/>
  <c r="AH860" i="2" s="1"/>
  <c r="AH482" i="2" s="1"/>
  <c r="AH857" i="2"/>
  <c r="AE10" i="5"/>
  <c r="AE122" i="5"/>
  <c r="AI706" i="2" l="1"/>
  <c r="AI3" i="7"/>
  <c r="AJ1" i="5"/>
  <c r="AJ877" i="2"/>
  <c r="AJ851" i="2"/>
  <c r="AJ3" i="2"/>
  <c r="AK4" i="2"/>
  <c r="AJ4" i="7"/>
  <c r="AI851" i="2"/>
  <c r="AE123" i="5"/>
  <c r="AE120" i="5"/>
  <c r="AE119" i="5"/>
  <c r="AH4" i="5"/>
  <c r="AH6" i="5" s="1"/>
  <c r="AH10" i="5" s="1"/>
  <c r="AH483" i="2"/>
  <c r="AH485" i="2" s="1"/>
  <c r="AH470" i="2" s="1"/>
  <c r="AH471" i="2" s="1"/>
  <c r="AH472" i="2" s="1"/>
  <c r="AE479" i="2"/>
  <c r="AE476" i="2"/>
  <c r="AE475" i="2"/>
  <c r="AJ865" i="2"/>
  <c r="AJ858" i="2"/>
  <c r="AJ872" i="2"/>
  <c r="AI865" i="2"/>
  <c r="AI858" i="2"/>
  <c r="AI872" i="2"/>
  <c r="AI869" i="2" l="1"/>
  <c r="AI867" i="2" s="1"/>
  <c r="AI864" i="2"/>
  <c r="AI855" i="2"/>
  <c r="AI853" i="2" s="1"/>
  <c r="AI481" i="2" s="1"/>
  <c r="AI871" i="2"/>
  <c r="AI862" i="2"/>
  <c r="AI860" i="2" s="1"/>
  <c r="AI482" i="2" s="1"/>
  <c r="AI857" i="2"/>
  <c r="AI878" i="2"/>
  <c r="AI876" i="2"/>
  <c r="AI874" i="2" s="1"/>
  <c r="AI484" i="2" s="1"/>
  <c r="AK1" i="5"/>
  <c r="AK877" i="2"/>
  <c r="AK851" i="2"/>
  <c r="AK878" i="2" s="1"/>
  <c r="AL4" i="2"/>
  <c r="AK3" i="2"/>
  <c r="AK4" i="7"/>
  <c r="AH461" i="2"/>
  <c r="AG461" i="2"/>
  <c r="AG704" i="2"/>
  <c r="AI704" i="2"/>
  <c r="AF461" i="2"/>
  <c r="AF704" i="2"/>
  <c r="AI461" i="2"/>
  <c r="AH704" i="2"/>
  <c r="AH459" i="2"/>
  <c r="AF459" i="2"/>
  <c r="AG459" i="2"/>
  <c r="AI459" i="2"/>
  <c r="AI463" i="2"/>
  <c r="AG463" i="2"/>
  <c r="AH463" i="2"/>
  <c r="AF463" i="2"/>
  <c r="AJ3" i="7"/>
  <c r="AF706" i="2"/>
  <c r="AG706" i="2"/>
  <c r="AH706" i="2"/>
  <c r="AJ869" i="2"/>
  <c r="AJ867" i="2" s="1"/>
  <c r="AJ864" i="2"/>
  <c r="AJ855" i="2"/>
  <c r="AJ853" i="2" s="1"/>
  <c r="AJ481" i="2" s="1"/>
  <c r="AJ871" i="2"/>
  <c r="AJ862" i="2"/>
  <c r="AJ860" i="2" s="1"/>
  <c r="AJ482" i="2" s="1"/>
  <c r="AJ857" i="2"/>
  <c r="AJ876" i="2"/>
  <c r="AJ874" i="2" s="1"/>
  <c r="AJ484" i="2" s="1"/>
  <c r="AJ878" i="2"/>
  <c r="AK858" i="2"/>
  <c r="AK872" i="2"/>
  <c r="AK865" i="2"/>
  <c r="AK876" i="2" l="1"/>
  <c r="AK874" i="2" s="1"/>
  <c r="AK484" i="2" s="1"/>
  <c r="AK3" i="7"/>
  <c r="AL1" i="5"/>
  <c r="AL877" i="2"/>
  <c r="AL851" i="2"/>
  <c r="AL3" i="2"/>
  <c r="AM4" i="2"/>
  <c r="AL4" i="7"/>
  <c r="AJ4" i="5"/>
  <c r="AJ483" i="2"/>
  <c r="AJ485" i="2" s="1"/>
  <c r="AJ470" i="2" s="1"/>
  <c r="AK869" i="2"/>
  <c r="AK867" i="2" s="1"/>
  <c r="AK864" i="2"/>
  <c r="AK855" i="2"/>
  <c r="AK853" i="2" s="1"/>
  <c r="AK481" i="2" s="1"/>
  <c r="AK871" i="2"/>
  <c r="AK862" i="2"/>
  <c r="AK860" i="2" s="1"/>
  <c r="AK482" i="2" s="1"/>
  <c r="AK857" i="2"/>
  <c r="AI4" i="5"/>
  <c r="AI6" i="5" s="1"/>
  <c r="AI10" i="5" s="1"/>
  <c r="AI483" i="2"/>
  <c r="AI485" i="2" s="1"/>
  <c r="AI470" i="2" s="1"/>
  <c r="AI471" i="2" s="1"/>
  <c r="AI472" i="2" s="1"/>
  <c r="AL858" i="2"/>
  <c r="AL872" i="2"/>
  <c r="AL865" i="2"/>
  <c r="AJ121" i="5" l="1"/>
  <c r="AJ118" i="5"/>
  <c r="AJ6" i="5"/>
  <c r="AM1" i="5"/>
  <c r="AM876" i="2"/>
  <c r="AM874" i="2" s="1"/>
  <c r="AM484" i="2" s="1"/>
  <c r="AM877" i="2"/>
  <c r="AM878" i="2"/>
  <c r="AM851" i="2"/>
  <c r="AM3" i="2"/>
  <c r="AN4" i="2"/>
  <c r="AM4" i="7"/>
  <c r="AL3" i="7"/>
  <c r="AL869" i="2"/>
  <c r="AL867" i="2" s="1"/>
  <c r="AL864" i="2"/>
  <c r="AL855" i="2"/>
  <c r="AL853" i="2" s="1"/>
  <c r="AL481" i="2" s="1"/>
  <c r="AL871" i="2"/>
  <c r="AL862" i="2"/>
  <c r="AL860" i="2" s="1"/>
  <c r="AL482" i="2" s="1"/>
  <c r="AL857" i="2"/>
  <c r="AJ477" i="2"/>
  <c r="AJ474" i="2"/>
  <c r="AJ471" i="2"/>
  <c r="AL876" i="2"/>
  <c r="AL874" i="2" s="1"/>
  <c r="AL484" i="2" s="1"/>
  <c r="AL878" i="2"/>
  <c r="AK4" i="5"/>
  <c r="AK6" i="5" s="1"/>
  <c r="AK10" i="5" s="1"/>
  <c r="AK483" i="2"/>
  <c r="AK485" i="2" s="1"/>
  <c r="AK470" i="2" s="1"/>
  <c r="AK471" i="2" s="1"/>
  <c r="AK472" i="2" s="1"/>
  <c r="AM858" i="2"/>
  <c r="AM865" i="2"/>
  <c r="AM872" i="2"/>
  <c r="AJ472" i="2" l="1"/>
  <c r="AJ478" i="2"/>
  <c r="AN1" i="5"/>
  <c r="AN877" i="2"/>
  <c r="AN851" i="2"/>
  <c r="AN3" i="2"/>
  <c r="AO4" i="2"/>
  <c r="AN4" i="7"/>
  <c r="AM3" i="7"/>
  <c r="AM855" i="2"/>
  <c r="AM853" i="2" s="1"/>
  <c r="AM481" i="2" s="1"/>
  <c r="AM871" i="2"/>
  <c r="AM862" i="2"/>
  <c r="AM860" i="2" s="1"/>
  <c r="AM482" i="2" s="1"/>
  <c r="AM857" i="2"/>
  <c r="AM869" i="2"/>
  <c r="AM867" i="2" s="1"/>
  <c r="AM864" i="2"/>
  <c r="AJ10" i="5"/>
  <c r="AJ122" i="5"/>
  <c r="AL483" i="2"/>
  <c r="AL485" i="2" s="1"/>
  <c r="AL470" i="2" s="1"/>
  <c r="AL471" i="2" s="1"/>
  <c r="AL472" i="2" s="1"/>
  <c r="AL4" i="5"/>
  <c r="AL6" i="5" s="1"/>
  <c r="AL10" i="5" s="1"/>
  <c r="AN872" i="2"/>
  <c r="AN858" i="2"/>
  <c r="AN865" i="2"/>
  <c r="AO1" i="5" l="1"/>
  <c r="AO877" i="2"/>
  <c r="AO851" i="2"/>
  <c r="AO3" i="2"/>
  <c r="AP4" i="2"/>
  <c r="AO4" i="7"/>
  <c r="AN706" i="2"/>
  <c r="AN3" i="7"/>
  <c r="AJ123" i="5"/>
  <c r="AJ120" i="5"/>
  <c r="AJ119" i="5"/>
  <c r="AN871" i="2"/>
  <c r="AN862" i="2"/>
  <c r="AN860" i="2" s="1"/>
  <c r="AN482" i="2" s="1"/>
  <c r="AN857" i="2"/>
  <c r="AN869" i="2"/>
  <c r="AN867" i="2" s="1"/>
  <c r="AN864" i="2"/>
  <c r="AN855" i="2"/>
  <c r="AN853" i="2" s="1"/>
  <c r="AN481" i="2" s="1"/>
  <c r="AN878" i="2"/>
  <c r="AM4" i="5"/>
  <c r="AM6" i="5" s="1"/>
  <c r="AM10" i="5" s="1"/>
  <c r="AM483" i="2"/>
  <c r="AM485" i="2" s="1"/>
  <c r="AM470" i="2" s="1"/>
  <c r="AM471" i="2" s="1"/>
  <c r="AM472" i="2" s="1"/>
  <c r="AN876" i="2"/>
  <c r="AN874" i="2" s="1"/>
  <c r="AN484" i="2" s="1"/>
  <c r="AJ476" i="2"/>
  <c r="AJ475" i="2"/>
  <c r="AJ479" i="2"/>
  <c r="AO858" i="2"/>
  <c r="AO865" i="2"/>
  <c r="AO872" i="2"/>
  <c r="AP1" i="5" l="1"/>
  <c r="AP877" i="2"/>
  <c r="AP851" i="2"/>
  <c r="AP3" i="2"/>
  <c r="AQ4" i="2"/>
  <c r="AP4" i="7"/>
  <c r="AN704" i="2"/>
  <c r="AM461" i="2"/>
  <c r="AN461" i="2"/>
  <c r="AL461" i="2"/>
  <c r="AK704" i="2"/>
  <c r="AM704" i="2"/>
  <c r="AK461" i="2"/>
  <c r="AL704" i="2"/>
  <c r="AM459" i="2"/>
  <c r="AL459" i="2"/>
  <c r="AN155" i="2"/>
  <c r="AM155" i="2"/>
  <c r="AN459" i="2"/>
  <c r="AK459" i="2"/>
  <c r="AL463" i="2"/>
  <c r="AK463" i="2"/>
  <c r="AN463" i="2"/>
  <c r="AM463" i="2"/>
  <c r="AO3" i="7"/>
  <c r="AK706" i="2"/>
  <c r="AL706" i="2"/>
  <c r="AM706" i="2"/>
  <c r="AN4" i="5"/>
  <c r="AN6" i="5" s="1"/>
  <c r="AN10" i="5" s="1"/>
  <c r="AN483" i="2"/>
  <c r="AN485" i="2" s="1"/>
  <c r="AN470" i="2" s="1"/>
  <c r="AN471" i="2" s="1"/>
  <c r="AN472" i="2" s="1"/>
  <c r="AO871" i="2"/>
  <c r="AO862" i="2"/>
  <c r="AO860" i="2" s="1"/>
  <c r="AO482" i="2" s="1"/>
  <c r="AO857" i="2"/>
  <c r="AO869" i="2"/>
  <c r="AO867" i="2" s="1"/>
  <c r="AO864" i="2"/>
  <c r="AO855" i="2"/>
  <c r="AO853" i="2" s="1"/>
  <c r="AO481" i="2" s="1"/>
  <c r="AO878" i="2"/>
  <c r="AO876" i="2"/>
  <c r="AO874" i="2" s="1"/>
  <c r="AO484" i="2" s="1"/>
  <c r="AP865" i="2"/>
  <c r="AP858" i="2"/>
  <c r="AP872" i="2"/>
  <c r="AO4" i="5" l="1"/>
  <c r="AO483" i="2"/>
  <c r="AO485" i="2" s="1"/>
  <c r="AO470" i="2" s="1"/>
  <c r="AQ1" i="5"/>
  <c r="AQ877" i="2"/>
  <c r="AQ878" i="2"/>
  <c r="AQ851" i="2"/>
  <c r="AQ3" i="2"/>
  <c r="AR4" i="2"/>
  <c r="AQ4" i="7"/>
  <c r="AP3" i="7"/>
  <c r="AP871" i="2"/>
  <c r="AP862" i="2"/>
  <c r="AP860" i="2" s="1"/>
  <c r="AP482" i="2" s="1"/>
  <c r="AP857" i="2"/>
  <c r="AP869" i="2"/>
  <c r="AP867" i="2" s="1"/>
  <c r="AP864" i="2"/>
  <c r="AP855" i="2"/>
  <c r="AP853" i="2" s="1"/>
  <c r="AP481" i="2" s="1"/>
  <c r="AP878" i="2"/>
  <c r="AP876" i="2"/>
  <c r="AP874" i="2" s="1"/>
  <c r="AP484" i="2" s="1"/>
  <c r="AQ865" i="2"/>
  <c r="AQ872" i="2"/>
  <c r="AQ858" i="2"/>
  <c r="AR877" i="2" l="1"/>
  <c r="AR1" i="5"/>
  <c r="AR851" i="2"/>
  <c r="AR3" i="2"/>
  <c r="AS4" i="2"/>
  <c r="AR4" i="7"/>
  <c r="AQ3" i="7"/>
  <c r="AQ871" i="2"/>
  <c r="AQ862" i="2"/>
  <c r="AQ860" i="2" s="1"/>
  <c r="AQ482" i="2" s="1"/>
  <c r="AQ857" i="2"/>
  <c r="AQ869" i="2"/>
  <c r="AQ867" i="2" s="1"/>
  <c r="AQ864" i="2"/>
  <c r="AQ855" i="2"/>
  <c r="AQ853" i="2" s="1"/>
  <c r="AQ481" i="2" s="1"/>
  <c r="AP4" i="5"/>
  <c r="AP6" i="5" s="1"/>
  <c r="AP10" i="5" s="1"/>
  <c r="AP483" i="2"/>
  <c r="AP485" i="2" s="1"/>
  <c r="AP470" i="2" s="1"/>
  <c r="AP471" i="2" s="1"/>
  <c r="AP472" i="2" s="1"/>
  <c r="AQ876" i="2"/>
  <c r="AQ874" i="2" s="1"/>
  <c r="AQ484" i="2" s="1"/>
  <c r="AO474" i="2"/>
  <c r="AO471" i="2"/>
  <c r="AO477" i="2"/>
  <c r="AO121" i="5"/>
  <c r="AO118" i="5"/>
  <c r="AO6" i="5"/>
  <c r="AR865" i="2"/>
  <c r="AR858" i="2"/>
  <c r="AR872" i="2"/>
  <c r="AO478" i="2" l="1"/>
  <c r="AO472" i="2"/>
  <c r="AS877" i="2"/>
  <c r="AS1" i="5"/>
  <c r="AS876" i="2"/>
  <c r="AS874" i="2" s="1"/>
  <c r="AS484" i="2" s="1"/>
  <c r="AS851" i="2"/>
  <c r="AS3" i="2"/>
  <c r="AT4" i="2"/>
  <c r="AS4" i="7"/>
  <c r="AR3" i="7"/>
  <c r="AR871" i="2"/>
  <c r="AR862" i="2"/>
  <c r="AR860" i="2" s="1"/>
  <c r="AR482" i="2" s="1"/>
  <c r="AR857" i="2"/>
  <c r="AR869" i="2"/>
  <c r="AR867" i="2" s="1"/>
  <c r="AR864" i="2"/>
  <c r="AR855" i="2"/>
  <c r="AR853" i="2" s="1"/>
  <c r="AR481" i="2" s="1"/>
  <c r="AR878" i="2"/>
  <c r="AQ4" i="5"/>
  <c r="AQ6" i="5" s="1"/>
  <c r="AQ10" i="5" s="1"/>
  <c r="AQ483" i="2"/>
  <c r="AQ485" i="2" s="1"/>
  <c r="AQ470" i="2" s="1"/>
  <c r="AQ471" i="2" s="1"/>
  <c r="AQ472" i="2" s="1"/>
  <c r="AO122" i="5"/>
  <c r="AO10" i="5"/>
  <c r="AR876" i="2"/>
  <c r="AR874" i="2" s="1"/>
  <c r="AR484" i="2" s="1"/>
  <c r="AS865" i="2"/>
  <c r="AS858" i="2"/>
  <c r="AS872" i="2"/>
  <c r="AO123" i="5" l="1"/>
  <c r="AO120" i="5"/>
  <c r="AO119" i="5"/>
  <c r="AT877" i="2"/>
  <c r="AT1" i="5"/>
  <c r="AU4" i="2"/>
  <c r="AT3" i="2"/>
  <c r="AS706" i="2" s="1"/>
  <c r="AT4" i="7"/>
  <c r="AS3" i="7"/>
  <c r="AS857" i="2"/>
  <c r="AS869" i="2"/>
  <c r="AS867" i="2" s="1"/>
  <c r="AS864" i="2"/>
  <c r="AS855" i="2"/>
  <c r="AS853" i="2" s="1"/>
  <c r="AS481" i="2" s="1"/>
  <c r="AS871" i="2"/>
  <c r="AS862" i="2"/>
  <c r="AS860" i="2" s="1"/>
  <c r="AS482" i="2" s="1"/>
  <c r="AR4" i="5"/>
  <c r="AR6" i="5" s="1"/>
  <c r="AR10" i="5" s="1"/>
  <c r="AR483" i="2"/>
  <c r="AR485" i="2" s="1"/>
  <c r="AR470" i="2" s="1"/>
  <c r="AR471" i="2" s="1"/>
  <c r="AR472" i="2" s="1"/>
  <c r="AS878" i="2"/>
  <c r="AO479" i="2"/>
  <c r="AO476" i="2"/>
  <c r="AO475" i="2"/>
  <c r="AS171" i="2" l="1"/>
  <c r="AP171" i="2"/>
  <c r="AQ704" i="2"/>
  <c r="AQ155" i="2"/>
  <c r="AR155" i="2"/>
  <c r="AS155" i="2"/>
  <c r="AP461" i="2"/>
  <c r="AQ461" i="2"/>
  <c r="AR461" i="2"/>
  <c r="AS704" i="2"/>
  <c r="AS461" i="2"/>
  <c r="AQ171" i="2"/>
  <c r="AR171" i="2"/>
  <c r="AR704" i="2"/>
  <c r="AP704" i="2"/>
  <c r="AQ459" i="2"/>
  <c r="AP155" i="2"/>
  <c r="AR459" i="2"/>
  <c r="AP459" i="2"/>
  <c r="AS459" i="2"/>
  <c r="AR463" i="2"/>
  <c r="AS463" i="2"/>
  <c r="AQ463" i="2"/>
  <c r="AP463" i="2"/>
  <c r="AT3" i="7"/>
  <c r="AP706" i="2"/>
  <c r="AQ706" i="2"/>
  <c r="AR706" i="2"/>
  <c r="AU877" i="2"/>
  <c r="AU1" i="5"/>
  <c r="AU876" i="2"/>
  <c r="AU874" i="2" s="1"/>
  <c r="AU484" i="2" s="1"/>
  <c r="AU851" i="2"/>
  <c r="AV4" i="2"/>
  <c r="AU3" i="2"/>
  <c r="AU4" i="7"/>
  <c r="AT851" i="2"/>
  <c r="AS4" i="5"/>
  <c r="AS6" i="5" s="1"/>
  <c r="AS10" i="5" s="1"/>
  <c r="AS483" i="2"/>
  <c r="AS485" i="2" s="1"/>
  <c r="AS470" i="2" s="1"/>
  <c r="AS471" i="2" s="1"/>
  <c r="AS472" i="2" s="1"/>
  <c r="AT865" i="2"/>
  <c r="AT858" i="2"/>
  <c r="AT872" i="2"/>
  <c r="AU865" i="2"/>
  <c r="AU858" i="2"/>
  <c r="AU872" i="2"/>
  <c r="AU3" i="7" l="1"/>
  <c r="AV878" i="2"/>
  <c r="AV1" i="5"/>
  <c r="AV876" i="2"/>
  <c r="AV874" i="2" s="1"/>
  <c r="AV484" i="2" s="1"/>
  <c r="AV877" i="2"/>
  <c r="AV851" i="2"/>
  <c r="AV3" i="2"/>
  <c r="AW4" i="2"/>
  <c r="AV4" i="7"/>
  <c r="AU869" i="2"/>
  <c r="AU867" i="2" s="1"/>
  <c r="AU864" i="2"/>
  <c r="AU855" i="2"/>
  <c r="AU853" i="2" s="1"/>
  <c r="AU481" i="2" s="1"/>
  <c r="AU871" i="2"/>
  <c r="AU862" i="2"/>
  <c r="AU860" i="2" s="1"/>
  <c r="AU482" i="2" s="1"/>
  <c r="AU857" i="2"/>
  <c r="AU878" i="2"/>
  <c r="AT869" i="2"/>
  <c r="AT867" i="2" s="1"/>
  <c r="AT864" i="2"/>
  <c r="AT855" i="2"/>
  <c r="AT853" i="2" s="1"/>
  <c r="AT481" i="2" s="1"/>
  <c r="AT871" i="2"/>
  <c r="AT862" i="2"/>
  <c r="AT860" i="2" s="1"/>
  <c r="AT482" i="2" s="1"/>
  <c r="AT857" i="2"/>
  <c r="AT878" i="2"/>
  <c r="AT876" i="2"/>
  <c r="AT874" i="2" s="1"/>
  <c r="AT484" i="2" s="1"/>
  <c r="AV865" i="2"/>
  <c r="AV858" i="2"/>
  <c r="AV872" i="2"/>
  <c r="AU4" i="5" l="1"/>
  <c r="AU6" i="5" s="1"/>
  <c r="AU10" i="5" s="1"/>
  <c r="AU483" i="2"/>
  <c r="AU485" i="2" s="1"/>
  <c r="AU470" i="2" s="1"/>
  <c r="AU471" i="2" s="1"/>
  <c r="AU472" i="2" s="1"/>
  <c r="AW1" i="5"/>
  <c r="AW876" i="2"/>
  <c r="AW874" i="2" s="1"/>
  <c r="AW484" i="2" s="1"/>
  <c r="AW877" i="2"/>
  <c r="AW851" i="2"/>
  <c r="AX4" i="2"/>
  <c r="AW3" i="2"/>
  <c r="AW4" i="7"/>
  <c r="AV3" i="7"/>
  <c r="AV869" i="2"/>
  <c r="AV867" i="2" s="1"/>
  <c r="AV864" i="2"/>
  <c r="AV855" i="2"/>
  <c r="AV853" i="2" s="1"/>
  <c r="AV481" i="2" s="1"/>
  <c r="AV871" i="2"/>
  <c r="AV862" i="2"/>
  <c r="AV860" i="2" s="1"/>
  <c r="AV482" i="2" s="1"/>
  <c r="AV857" i="2"/>
  <c r="AT4" i="5"/>
  <c r="AT483" i="2"/>
  <c r="AT485" i="2" s="1"/>
  <c r="AT470" i="2" s="1"/>
  <c r="AW858" i="2"/>
  <c r="AW872" i="2"/>
  <c r="AW865" i="2"/>
  <c r="AW3" i="7" l="1"/>
  <c r="AT474" i="2"/>
  <c r="AT471" i="2"/>
  <c r="AT477" i="2"/>
  <c r="AX1" i="5"/>
  <c r="AX876" i="2"/>
  <c r="AX874" i="2" s="1"/>
  <c r="AX484" i="2" s="1"/>
  <c r="AX877" i="2"/>
  <c r="AX851" i="2"/>
  <c r="AX3" i="2"/>
  <c r="AY4" i="2"/>
  <c r="AX4" i="7"/>
  <c r="AT6" i="5"/>
  <c r="AT118" i="5"/>
  <c r="AT121" i="5"/>
  <c r="AW869" i="2"/>
  <c r="AW867" i="2" s="1"/>
  <c r="AW864" i="2"/>
  <c r="AW855" i="2"/>
  <c r="AW853" i="2" s="1"/>
  <c r="AW481" i="2" s="1"/>
  <c r="AW871" i="2"/>
  <c r="AW862" i="2"/>
  <c r="AW860" i="2" s="1"/>
  <c r="AW482" i="2" s="1"/>
  <c r="AW857" i="2"/>
  <c r="AW878" i="2"/>
  <c r="AV4" i="5"/>
  <c r="AV6" i="5" s="1"/>
  <c r="AV10" i="5" s="1"/>
  <c r="AV483" i="2"/>
  <c r="AV485" i="2" s="1"/>
  <c r="AV470" i="2" s="1"/>
  <c r="AV471" i="2" s="1"/>
  <c r="AV472" i="2" s="1"/>
  <c r="AX858" i="2"/>
  <c r="AX872" i="2"/>
  <c r="AX865" i="2"/>
  <c r="AY1" i="5" l="1"/>
  <c r="AY877" i="2"/>
  <c r="AY851" i="2"/>
  <c r="AY3" i="2"/>
  <c r="AZ4" i="2"/>
  <c r="AY4" i="7"/>
  <c r="AX458" i="2"/>
  <c r="AX149" i="2"/>
  <c r="AX460" i="2"/>
  <c r="AX693" i="2"/>
  <c r="AX3" i="7"/>
  <c r="AX869" i="2"/>
  <c r="AX867" i="2" s="1"/>
  <c r="AX864" i="2"/>
  <c r="AX855" i="2"/>
  <c r="AX853" i="2" s="1"/>
  <c r="AX871" i="2"/>
  <c r="AX862" i="2"/>
  <c r="AX860" i="2" s="1"/>
  <c r="AX857" i="2"/>
  <c r="AX427" i="2"/>
  <c r="AX429" i="2"/>
  <c r="AX428" i="2"/>
  <c r="AX470" i="2"/>
  <c r="AX471" i="2" s="1"/>
  <c r="AX878" i="2"/>
  <c r="AW483" i="2"/>
  <c r="AW485" i="2" s="1"/>
  <c r="AW470" i="2" s="1"/>
  <c r="AW471" i="2" s="1"/>
  <c r="AW472" i="2" s="1"/>
  <c r="AW4" i="5"/>
  <c r="AW6" i="5" s="1"/>
  <c r="AW10" i="5" s="1"/>
  <c r="AT472" i="2"/>
  <c r="AT478" i="2"/>
  <c r="AT122" i="5"/>
  <c r="AT10" i="5"/>
  <c r="AY858" i="2"/>
  <c r="AY865" i="2"/>
  <c r="AY872" i="2"/>
  <c r="AX294" i="2" l="1"/>
  <c r="AX706" i="2"/>
  <c r="AY693" i="2"/>
  <c r="AX740" i="2"/>
  <c r="AY428" i="2"/>
  <c r="AX401" i="2"/>
  <c r="AY401" i="2" s="1"/>
  <c r="AY460" i="2"/>
  <c r="AY429" i="2"/>
  <c r="AX5" i="5"/>
  <c r="AX6" i="5" s="1"/>
  <c r="AX151" i="2"/>
  <c r="AY149" i="2"/>
  <c r="AX439" i="2"/>
  <c r="AY427" i="2"/>
  <c r="AX462" i="2"/>
  <c r="AX400" i="2"/>
  <c r="AY458" i="2"/>
  <c r="AY459" i="2" s="1"/>
  <c r="AZ1" i="5"/>
  <c r="AZ876" i="2"/>
  <c r="AZ874" i="2" s="1"/>
  <c r="AZ484" i="2" s="1"/>
  <c r="AZ470" i="2" s="1"/>
  <c r="AZ877" i="2"/>
  <c r="AZ878" i="2"/>
  <c r="AZ851" i="2"/>
  <c r="AZ3" i="2"/>
  <c r="BA4" i="2"/>
  <c r="AZ4" i="7"/>
  <c r="AT119" i="5"/>
  <c r="AT120" i="5"/>
  <c r="AT123" i="5"/>
  <c r="AW171" i="2"/>
  <c r="AV155" i="2"/>
  <c r="AW704" i="2"/>
  <c r="AV171" i="2"/>
  <c r="AU704" i="2"/>
  <c r="AV704" i="2"/>
  <c r="AU171" i="2"/>
  <c r="AU461" i="2"/>
  <c r="AV461" i="2"/>
  <c r="AW461" i="2"/>
  <c r="AW155" i="2"/>
  <c r="AU155" i="2"/>
  <c r="AV459" i="2"/>
  <c r="AW459" i="2"/>
  <c r="AU459" i="2"/>
  <c r="AW463" i="2"/>
  <c r="AV463" i="2"/>
  <c r="AU463" i="2"/>
  <c r="AY3" i="7"/>
  <c r="AU706" i="2"/>
  <c r="AV706" i="2"/>
  <c r="AW706" i="2"/>
  <c r="AY855" i="2"/>
  <c r="AY853" i="2" s="1"/>
  <c r="AY871" i="2"/>
  <c r="AY862" i="2"/>
  <c r="AY860" i="2" s="1"/>
  <c r="AY857" i="2"/>
  <c r="AY869" i="2"/>
  <c r="AY867" i="2" s="1"/>
  <c r="AY864" i="2"/>
  <c r="AT479" i="2"/>
  <c r="AT476" i="2"/>
  <c r="AT475" i="2"/>
  <c r="AY878" i="2"/>
  <c r="AY876" i="2"/>
  <c r="AY874" i="2" s="1"/>
  <c r="AY484" i="2" s="1"/>
  <c r="AY470" i="2" s="1"/>
  <c r="AX699" i="2"/>
  <c r="AZ858" i="2"/>
  <c r="AZ865" i="2"/>
  <c r="AZ872" i="2"/>
  <c r="AY704" i="2" l="1"/>
  <c r="AZ429" i="2"/>
  <c r="AY5" i="5"/>
  <c r="AY6" i="5" s="1"/>
  <c r="AY471" i="2"/>
  <c r="AX36" i="5"/>
  <c r="AY400" i="2"/>
  <c r="AY36" i="5" s="1"/>
  <c r="AZ428" i="2"/>
  <c r="AX463" i="2"/>
  <c r="AY462" i="2"/>
  <c r="AY463" i="2" s="1"/>
  <c r="AY699" i="2"/>
  <c r="AX295" i="2"/>
  <c r="AY295" i="2" s="1"/>
  <c r="AX707" i="2"/>
  <c r="AY707" i="2" s="1"/>
  <c r="AX743" i="2"/>
  <c r="AZ427" i="2"/>
  <c r="AY740" i="2"/>
  <c r="AX696" i="2"/>
  <c r="AX695" i="2" s="1"/>
  <c r="AY706" i="2"/>
  <c r="BA1" i="5"/>
  <c r="BA876" i="2"/>
  <c r="BA874" i="2" s="1"/>
  <c r="BA484" i="2" s="1"/>
  <c r="BA470" i="2" s="1"/>
  <c r="BA877" i="2"/>
  <c r="BA878" i="2"/>
  <c r="BA3" i="2"/>
  <c r="BB4" i="2"/>
  <c r="BA4" i="7"/>
  <c r="AX656" i="2"/>
  <c r="AX65" i="5"/>
  <c r="AX807" i="2"/>
  <c r="AZ3" i="7"/>
  <c r="AY155" i="2"/>
  <c r="AY151" i="2"/>
  <c r="AX298" i="2"/>
  <c r="AY294" i="2"/>
  <c r="AZ871" i="2"/>
  <c r="AZ862" i="2"/>
  <c r="AZ860" i="2" s="1"/>
  <c r="AZ857" i="2"/>
  <c r="AZ869" i="2"/>
  <c r="AZ867" i="2" s="1"/>
  <c r="AZ864" i="2"/>
  <c r="AZ855" i="2"/>
  <c r="AZ853" i="2" s="1"/>
  <c r="AX160" i="2"/>
  <c r="AX153" i="2"/>
  <c r="AX152" i="2"/>
  <c r="AX154" i="2"/>
  <c r="AX30" i="2"/>
  <c r="AY160" i="2" l="1"/>
  <c r="AX173" i="2"/>
  <c r="BA428" i="2"/>
  <c r="AY656" i="2"/>
  <c r="AX661" i="2"/>
  <c r="BB1" i="5"/>
  <c r="BB876" i="2"/>
  <c r="BB874" i="2" s="1"/>
  <c r="BB484" i="2" s="1"/>
  <c r="BB470" i="2" s="1"/>
  <c r="BB877" i="2"/>
  <c r="BB878" i="2"/>
  <c r="BB851" i="2"/>
  <c r="BB3" i="2"/>
  <c r="BC4" i="2"/>
  <c r="BB4" i="7"/>
  <c r="AY696" i="2"/>
  <c r="BA3" i="7"/>
  <c r="AZ439" i="2"/>
  <c r="BA427" i="2"/>
  <c r="AX32" i="2"/>
  <c r="AX31" i="2"/>
  <c r="AX394" i="2"/>
  <c r="AY298" i="2"/>
  <c r="BA851" i="2"/>
  <c r="AY743" i="2"/>
  <c r="AX702" i="2"/>
  <c r="AX701" i="2" s="1"/>
  <c r="AX167" i="2"/>
  <c r="AY154" i="2"/>
  <c r="AY153" i="2"/>
  <c r="BD148" i="2"/>
  <c r="AZ148" i="2"/>
  <c r="AY30" i="2"/>
  <c r="AY32" i="2" s="1"/>
  <c r="AZ5" i="5"/>
  <c r="AZ6" i="5" s="1"/>
  <c r="AZ471" i="2"/>
  <c r="BA429" i="2"/>
  <c r="BB865" i="2"/>
  <c r="BB858" i="2"/>
  <c r="BB872" i="2"/>
  <c r="BA858" i="2"/>
  <c r="BA865" i="2"/>
  <c r="BA872" i="2"/>
  <c r="BA439" i="2" l="1"/>
  <c r="BB427" i="2"/>
  <c r="AZ65" i="5"/>
  <c r="AZ807" i="2"/>
  <c r="AZ656" i="2"/>
  <c r="AX225" i="2"/>
  <c r="AX169" i="2"/>
  <c r="AX14" i="5" s="1"/>
  <c r="AX176" i="2"/>
  <c r="AX175" i="2" s="1"/>
  <c r="AX174" i="2" s="1"/>
  <c r="AY174" i="2" s="1"/>
  <c r="AX168" i="2"/>
  <c r="AY167" i="2"/>
  <c r="AX35" i="2"/>
  <c r="AX181" i="2"/>
  <c r="AY813" i="2"/>
  <c r="AY702" i="2"/>
  <c r="AZ692" i="2"/>
  <c r="AY695" i="2"/>
  <c r="BD692" i="2"/>
  <c r="AY439" i="2"/>
  <c r="AY661" i="2"/>
  <c r="BA871" i="2"/>
  <c r="BA862" i="2"/>
  <c r="BA860" i="2" s="1"/>
  <c r="BA857" i="2"/>
  <c r="BA869" i="2"/>
  <c r="BA867" i="2" s="1"/>
  <c r="BA864" i="2"/>
  <c r="BA855" i="2"/>
  <c r="BA853" i="2" s="1"/>
  <c r="BA5" i="5"/>
  <c r="BA6" i="5" s="1"/>
  <c r="BA471" i="2"/>
  <c r="BB429" i="2"/>
  <c r="AX709" i="2"/>
  <c r="AX585" i="2"/>
  <c r="AY585" i="2" s="1"/>
  <c r="AY394" i="2"/>
  <c r="BB428" i="2"/>
  <c r="BC1" i="5"/>
  <c r="BC876" i="2"/>
  <c r="BC874" i="2" s="1"/>
  <c r="BC484" i="2" s="1"/>
  <c r="BC470" i="2" s="1"/>
  <c r="BC877" i="2"/>
  <c r="BC878" i="2"/>
  <c r="BC851" i="2"/>
  <c r="BD4" i="2"/>
  <c r="BC3" i="2"/>
  <c r="BC4" i="7"/>
  <c r="AX161" i="2"/>
  <c r="AX162" i="2" s="1"/>
  <c r="AY173" i="2"/>
  <c r="BB3" i="7"/>
  <c r="BB871" i="2"/>
  <c r="BB862" i="2"/>
  <c r="BB860" i="2" s="1"/>
  <c r="BB857" i="2"/>
  <c r="BB869" i="2"/>
  <c r="BB867" i="2" s="1"/>
  <c r="BB864" i="2"/>
  <c r="BB855" i="2"/>
  <c r="BB853" i="2" s="1"/>
  <c r="AY163" i="2"/>
  <c r="BC865" i="2"/>
  <c r="BC858" i="2"/>
  <c r="BC872" i="2"/>
  <c r="AY165" i="2" l="1"/>
  <c r="AY164" i="2"/>
  <c r="AY709" i="2"/>
  <c r="AY161" i="2"/>
  <c r="AY175" i="2"/>
  <c r="AY171" i="2"/>
  <c r="AY169" i="2"/>
  <c r="AY14" i="5" s="1"/>
  <c r="AY157" i="2"/>
  <c r="AY158" i="2" s="1"/>
  <c r="AY35" i="2"/>
  <c r="AY181" i="2"/>
  <c r="AY183" i="2" s="1"/>
  <c r="AX728" i="2"/>
  <c r="AX603" i="2"/>
  <c r="AY603" i="2" s="1"/>
  <c r="AY65" i="5"/>
  <c r="AY807" i="2"/>
  <c r="AY814" i="2"/>
  <c r="BC3" i="7"/>
  <c r="BB5" i="5"/>
  <c r="BB6" i="5" s="1"/>
  <c r="BB471" i="2"/>
  <c r="BC429" i="2"/>
  <c r="AX242" i="2"/>
  <c r="AY176" i="2"/>
  <c r="AY177" i="2" s="1"/>
  <c r="BD876" i="2"/>
  <c r="BD874" i="2" s="1"/>
  <c r="BD484" i="2" s="1"/>
  <c r="BD470" i="2" s="1"/>
  <c r="BD877" i="2"/>
  <c r="BD878" i="2"/>
  <c r="BD1" i="5"/>
  <c r="BD851" i="2"/>
  <c r="BD3" i="2"/>
  <c r="BE4" i="2"/>
  <c r="BD4" i="7"/>
  <c r="BC871" i="2"/>
  <c r="BC862" i="2"/>
  <c r="BC860" i="2" s="1"/>
  <c r="BC857" i="2"/>
  <c r="BC869" i="2"/>
  <c r="BC867" i="2" s="1"/>
  <c r="BC864" i="2"/>
  <c r="BC855" i="2"/>
  <c r="BC853" i="2" s="1"/>
  <c r="AZ693" i="2"/>
  <c r="AX20" i="5"/>
  <c r="AX236" i="2"/>
  <c r="AY225" i="2"/>
  <c r="AY701" i="2"/>
  <c r="BD698" i="2"/>
  <c r="AZ698" i="2"/>
  <c r="AZ661" i="2"/>
  <c r="BB439" i="2"/>
  <c r="BC427" i="2"/>
  <c r="BD427" i="2" s="1"/>
  <c r="BC428" i="2"/>
  <c r="BD428" i="2" s="1"/>
  <c r="AX182" i="2"/>
  <c r="AX186" i="2"/>
  <c r="AX183" i="2"/>
  <c r="BA807" i="2"/>
  <c r="BA656" i="2"/>
  <c r="BA661" i="2" s="1"/>
  <c r="BA65" i="5"/>
  <c r="BD865" i="2"/>
  <c r="BD858" i="2"/>
  <c r="BD872" i="2"/>
  <c r="AY314" i="2" l="1"/>
  <c r="AY178" i="2"/>
  <c r="AY728" i="2"/>
  <c r="AY748" i="2" s="1"/>
  <c r="AX748" i="2"/>
  <c r="AZ699" i="2"/>
  <c r="AZ707" i="2"/>
  <c r="AX190" i="2"/>
  <c r="AX188" i="2"/>
  <c r="AX15" i="5" s="1"/>
  <c r="AX226" i="2"/>
  <c r="AX187" i="2"/>
  <c r="AX36" i="2"/>
  <c r="AX37" i="2" s="1"/>
  <c r="AY186" i="2"/>
  <c r="AY242" i="2"/>
  <c r="BD429" i="2"/>
  <c r="BC5" i="5"/>
  <c r="BC6" i="5" s="1"/>
  <c r="BC471" i="2"/>
  <c r="AY20" i="5"/>
  <c r="AY236" i="2"/>
  <c r="BE877" i="2"/>
  <c r="BE878" i="2"/>
  <c r="BE1" i="5"/>
  <c r="BE876" i="2"/>
  <c r="BE874" i="2" s="1"/>
  <c r="BE484" i="2" s="1"/>
  <c r="BE470" i="2" s="1"/>
  <c r="BE851" i="2"/>
  <c r="BE3" i="2"/>
  <c r="BE3" i="7" s="1"/>
  <c r="BF4" i="2"/>
  <c r="BE4" i="7"/>
  <c r="BD3" i="7"/>
  <c r="AZ458" i="2"/>
  <c r="BA458" i="2"/>
  <c r="AZ149" i="2"/>
  <c r="BB458" i="2"/>
  <c r="BC458" i="2"/>
  <c r="BC439" i="2"/>
  <c r="BE427" i="2"/>
  <c r="BD871" i="2"/>
  <c r="BD862" i="2"/>
  <c r="BD860" i="2" s="1"/>
  <c r="BD857" i="2"/>
  <c r="BD869" i="2"/>
  <c r="BD867" i="2" s="1"/>
  <c r="BD864" i="2"/>
  <c r="BD855" i="2"/>
  <c r="BD853" i="2" s="1"/>
  <c r="AY162" i="2"/>
  <c r="BB807" i="2"/>
  <c r="BB656" i="2"/>
  <c r="BB65" i="5"/>
  <c r="AZ294" i="2"/>
  <c r="AZ740" i="2"/>
  <c r="AZ706" i="2"/>
  <c r="BE865" i="2"/>
  <c r="BE858" i="2"/>
  <c r="BE872" i="2"/>
  <c r="AX48" i="2" l="1"/>
  <c r="AX38" i="2"/>
  <c r="AX39" i="2"/>
  <c r="AZ696" i="2"/>
  <c r="BF877" i="2"/>
  <c r="BF878" i="2"/>
  <c r="BF1" i="5"/>
  <c r="BF876" i="2"/>
  <c r="BF874" i="2" s="1"/>
  <c r="BF484" i="2" s="1"/>
  <c r="BF470" i="2" s="1"/>
  <c r="BF851" i="2"/>
  <c r="BG4" i="2"/>
  <c r="BF3" i="2"/>
  <c r="BF3" i="7" s="1"/>
  <c r="BF4" i="7"/>
  <c r="BE428" i="2"/>
  <c r="AX21" i="5"/>
  <c r="AY226" i="2"/>
  <c r="AX228" i="2"/>
  <c r="BE857" i="2"/>
  <c r="BE869" i="2"/>
  <c r="BE867" i="2" s="1"/>
  <c r="BE864" i="2"/>
  <c r="BE855" i="2"/>
  <c r="BE853" i="2" s="1"/>
  <c r="BE871" i="2"/>
  <c r="BE862" i="2"/>
  <c r="BE860" i="2" s="1"/>
  <c r="BE439" i="2"/>
  <c r="BE429" i="2"/>
  <c r="AX243" i="2"/>
  <c r="AY190" i="2"/>
  <c r="AY191" i="2" s="1"/>
  <c r="BB661" i="2"/>
  <c r="BC65" i="5"/>
  <c r="BC807" i="2"/>
  <c r="BC656" i="2"/>
  <c r="BC661" i="2" s="1"/>
  <c r="BC400" i="2"/>
  <c r="AZ295" i="2"/>
  <c r="AZ298" i="2" s="1"/>
  <c r="AZ743" i="2"/>
  <c r="BB400" i="2"/>
  <c r="BD471" i="2"/>
  <c r="BD5" i="5"/>
  <c r="BD6" i="5" s="1"/>
  <c r="AZ151" i="2"/>
  <c r="BA400" i="2"/>
  <c r="BD458" i="2"/>
  <c r="BD459" i="2" s="1"/>
  <c r="AZ400" i="2"/>
  <c r="AY188" i="2"/>
  <c r="AY15" i="5" s="1"/>
  <c r="AY185" i="2"/>
  <c r="AY36" i="2"/>
  <c r="AY37" i="2" s="1"/>
  <c r="BF865" i="2"/>
  <c r="BF858" i="2"/>
  <c r="BF872" i="2"/>
  <c r="BD656" i="2" l="1"/>
  <c r="AZ394" i="2"/>
  <c r="BD439" i="2"/>
  <c r="BD661" i="2"/>
  <c r="BD813" i="2"/>
  <c r="BG1" i="5"/>
  <c r="BG877" i="2"/>
  <c r="BG878" i="2"/>
  <c r="BG876" i="2"/>
  <c r="BG874" i="2" s="1"/>
  <c r="BG484" i="2" s="1"/>
  <c r="BG470" i="2" s="1"/>
  <c r="BG851" i="2"/>
  <c r="BG3" i="2"/>
  <c r="BG3" i="7" s="1"/>
  <c r="BG4" i="7"/>
  <c r="BF869" i="2"/>
  <c r="BF867" i="2" s="1"/>
  <c r="BF864" i="2"/>
  <c r="BF855" i="2"/>
  <c r="BF853" i="2" s="1"/>
  <c r="BF871" i="2"/>
  <c r="BF862" i="2"/>
  <c r="BF860" i="2" s="1"/>
  <c r="BF857" i="2"/>
  <c r="AY315" i="2"/>
  <c r="AY192" i="2"/>
  <c r="AX250" i="2"/>
  <c r="AY243" i="2"/>
  <c r="AX245" i="2"/>
  <c r="AX23" i="5"/>
  <c r="AX381" i="2"/>
  <c r="AX229" i="2"/>
  <c r="AX232" i="2"/>
  <c r="AX230" i="2"/>
  <c r="AY39" i="2"/>
  <c r="AY48" i="2"/>
  <c r="AY51" i="2" s="1"/>
  <c r="AY17" i="5" s="1"/>
  <c r="BF429" i="2"/>
  <c r="BE5" i="5"/>
  <c r="BE6" i="5" s="1"/>
  <c r="BE471" i="2"/>
  <c r="AY21" i="5"/>
  <c r="AY231" i="2"/>
  <c r="AY228" i="2"/>
  <c r="AZ702" i="2"/>
  <c r="AZ160" i="2"/>
  <c r="AZ153" i="2"/>
  <c r="AZ152" i="2"/>
  <c r="BA148" i="2"/>
  <c r="AZ30" i="2"/>
  <c r="AZ154" i="2"/>
  <c r="AX231" i="2"/>
  <c r="BA692" i="2"/>
  <c r="AZ695" i="2"/>
  <c r="BE65" i="5"/>
  <c r="BE807" i="2"/>
  <c r="BE656" i="2"/>
  <c r="BE661" i="2" s="1"/>
  <c r="AX237" i="2"/>
  <c r="BD400" i="2"/>
  <c r="BF427" i="2"/>
  <c r="BF428" i="2"/>
  <c r="AX50" i="2"/>
  <c r="AX51" i="2"/>
  <c r="AX17" i="5" s="1"/>
  <c r="BG865" i="2"/>
  <c r="BG858" i="2"/>
  <c r="BG872" i="2"/>
  <c r="AZ173" i="2" l="1"/>
  <c r="BF5" i="5"/>
  <c r="BF6" i="5" s="1"/>
  <c r="BG429" i="2"/>
  <c r="BF471" i="2"/>
  <c r="BG869" i="2"/>
  <c r="BG867" i="2" s="1"/>
  <c r="BG864" i="2"/>
  <c r="BG855" i="2"/>
  <c r="BG853" i="2" s="1"/>
  <c r="BG871" i="2"/>
  <c r="BG862" i="2"/>
  <c r="BG860" i="2" s="1"/>
  <c r="BG857" i="2"/>
  <c r="AZ701" i="2"/>
  <c r="BA698" i="2"/>
  <c r="BA693" i="2"/>
  <c r="BA706" i="2"/>
  <c r="AY23" i="5"/>
  <c r="AY229" i="2"/>
  <c r="AY232" i="2"/>
  <c r="AY230" i="2"/>
  <c r="AX233" i="2"/>
  <c r="BG428" i="2"/>
  <c r="AZ167" i="2"/>
  <c r="AX30" i="5"/>
  <c r="AX752" i="2"/>
  <c r="AX756" i="2"/>
  <c r="AX759" i="2"/>
  <c r="AX718" i="2"/>
  <c r="AX724" i="2"/>
  <c r="AX723" i="2"/>
  <c r="AX755" i="2"/>
  <c r="AY755" i="2" s="1"/>
  <c r="AY679" i="2" s="1"/>
  <c r="AY687" i="2" s="1"/>
  <c r="AX255" i="2"/>
  <c r="AX327" i="2"/>
  <c r="AY381" i="2"/>
  <c r="AX326" i="2"/>
  <c r="AX799" i="2"/>
  <c r="BG427" i="2"/>
  <c r="BG439" i="2" s="1"/>
  <c r="BF439" i="2"/>
  <c r="AZ32" i="2"/>
  <c r="AZ31" i="2"/>
  <c r="BA149" i="2"/>
  <c r="AX257" i="2"/>
  <c r="AX246" i="2"/>
  <c r="AX248" i="2"/>
  <c r="AX251" i="2"/>
  <c r="AX249" i="2"/>
  <c r="BD65" i="5"/>
  <c r="BD807" i="2"/>
  <c r="BD814" i="2"/>
  <c r="AY250" i="2"/>
  <c r="AY245" i="2"/>
  <c r="AY237" i="2"/>
  <c r="AY239" i="2" s="1"/>
  <c r="AX239" i="2"/>
  <c r="AZ709" i="2"/>
  <c r="AZ585" i="2"/>
  <c r="AY246" i="2" l="1"/>
  <c r="AY248" i="2"/>
  <c r="AY251" i="2"/>
  <c r="AY249" i="2"/>
  <c r="AX268" i="2"/>
  <c r="AX263" i="2"/>
  <c r="AY723" i="2"/>
  <c r="AX602" i="2"/>
  <c r="AY724" i="2"/>
  <c r="AX605" i="2"/>
  <c r="AY605" i="2" s="1"/>
  <c r="AY233" i="2"/>
  <c r="AY718" i="2"/>
  <c r="AX601" i="2"/>
  <c r="AY601" i="2" s="1"/>
  <c r="BF807" i="2"/>
  <c r="BF656" i="2"/>
  <c r="BF661" i="2" s="1"/>
  <c r="BF65" i="5"/>
  <c r="AY759" i="2"/>
  <c r="AY681" i="2" s="1"/>
  <c r="AY689" i="2" s="1"/>
  <c r="AX612" i="2"/>
  <c r="AY612" i="2" s="1"/>
  <c r="BG65" i="5"/>
  <c r="BG807" i="2"/>
  <c r="BG656" i="2"/>
  <c r="BG661" i="2" s="1"/>
  <c r="AY756" i="2"/>
  <c r="AY680" i="2" s="1"/>
  <c r="AY688" i="2" s="1"/>
  <c r="AX611" i="2"/>
  <c r="AY611" i="2" s="1"/>
  <c r="BA294" i="2"/>
  <c r="BA740" i="2"/>
  <c r="BG5" i="5"/>
  <c r="BG6" i="5" s="1"/>
  <c r="BG471" i="2"/>
  <c r="AX252" i="2"/>
  <c r="AY752" i="2"/>
  <c r="AX608" i="2"/>
  <c r="AY608" i="2" s="1"/>
  <c r="AX111" i="5"/>
  <c r="BA699" i="2"/>
  <c r="BA707" i="2" s="1"/>
  <c r="AZ161" i="2"/>
  <c r="AX385" i="2"/>
  <c r="AX274" i="2"/>
  <c r="AX258" i="2"/>
  <c r="AX259" i="2"/>
  <c r="AX261" i="2" s="1"/>
  <c r="AY257" i="2"/>
  <c r="AY30" i="5"/>
  <c r="AY255" i="2"/>
  <c r="AY327" i="2"/>
  <c r="AY326" i="2"/>
  <c r="AY799" i="2"/>
  <c r="BA151" i="2"/>
  <c r="AZ169" i="2"/>
  <c r="AZ14" i="5" s="1"/>
  <c r="AZ176" i="2"/>
  <c r="AZ175" i="2" s="1"/>
  <c r="AZ174" i="2" s="1"/>
  <c r="AZ168" i="2"/>
  <c r="AZ225" i="2"/>
  <c r="AZ35" i="2"/>
  <c r="AZ181" i="2"/>
  <c r="AX604" i="2" l="1"/>
  <c r="AY602" i="2"/>
  <c r="AY677" i="2"/>
  <c r="AY685" i="2" s="1"/>
  <c r="AZ242" i="2"/>
  <c r="AX279" i="2"/>
  <c r="AX276" i="2"/>
  <c r="AX277" i="2" s="1"/>
  <c r="AX275" i="2"/>
  <c r="AY274" i="2"/>
  <c r="AX384" i="2"/>
  <c r="AY676" i="2"/>
  <c r="AY684" i="2" s="1"/>
  <c r="BA152" i="2"/>
  <c r="BB148" i="2"/>
  <c r="BA160" i="2"/>
  <c r="BA153" i="2"/>
  <c r="BA30" i="2"/>
  <c r="BA154" i="2"/>
  <c r="AZ162" i="2"/>
  <c r="BA696" i="2"/>
  <c r="AX387" i="2"/>
  <c r="AX264" i="2"/>
  <c r="AY263" i="2"/>
  <c r="AX388" i="2"/>
  <c r="AX269" i="2"/>
  <c r="AY268" i="2"/>
  <c r="BA295" i="2"/>
  <c r="BA743" i="2"/>
  <c r="BA298" i="2"/>
  <c r="AZ182" i="2"/>
  <c r="AZ186" i="2"/>
  <c r="AZ183" i="2"/>
  <c r="AY675" i="2"/>
  <c r="AY683" i="2" s="1"/>
  <c r="AZ20" i="5"/>
  <c r="AZ236" i="2"/>
  <c r="AY111" i="5"/>
  <c r="AY252" i="2"/>
  <c r="AY258" i="2"/>
  <c r="AY259" i="2"/>
  <c r="AY261" i="2" s="1"/>
  <c r="AY678" i="2"/>
  <c r="AY686" i="2" s="1"/>
  <c r="AY265" i="2" l="1"/>
  <c r="AY266" i="2" s="1"/>
  <c r="AY264" i="2"/>
  <c r="BA173" i="2"/>
  <c r="AZ187" i="2"/>
  <c r="AZ226" i="2"/>
  <c r="AZ190" i="2"/>
  <c r="AZ188" i="2"/>
  <c r="AZ15" i="5" s="1"/>
  <c r="AZ36" i="2"/>
  <c r="AZ37" i="2" s="1"/>
  <c r="BB149" i="2"/>
  <c r="AX281" i="2"/>
  <c r="AX283" i="2"/>
  <c r="AX285" i="2" s="1"/>
  <c r="AY279" i="2"/>
  <c r="AX32" i="5"/>
  <c r="AX54" i="5" s="1"/>
  <c r="AX320" i="2"/>
  <c r="AY387" i="2"/>
  <c r="BA394" i="2"/>
  <c r="BB692" i="2"/>
  <c r="BA695" i="2"/>
  <c r="BA702" i="2"/>
  <c r="AZ728" i="2"/>
  <c r="AZ748" i="2" s="1"/>
  <c r="AZ603" i="2"/>
  <c r="AY270" i="2"/>
  <c r="AY271" i="2" s="1"/>
  <c r="AY269" i="2"/>
  <c r="AX31" i="5"/>
  <c r="AX312" i="2"/>
  <c r="AX317" i="2" s="1"/>
  <c r="AX309" i="2"/>
  <c r="AX310" i="2" s="1"/>
  <c r="AX256" i="2"/>
  <c r="AY384" i="2"/>
  <c r="AY604" i="2"/>
  <c r="BA167" i="2"/>
  <c r="AX390" i="2"/>
  <c r="AX33" i="5"/>
  <c r="AX55" i="5" s="1"/>
  <c r="AX321" i="2"/>
  <c r="AY388" i="2"/>
  <c r="BA32" i="2"/>
  <c r="BA31" i="2"/>
  <c r="AY275" i="2"/>
  <c r="AY276" i="2"/>
  <c r="AY277" i="2" s="1"/>
  <c r="AX103" i="5" l="1"/>
  <c r="AX104" i="5" s="1"/>
  <c r="AX391" i="2"/>
  <c r="AX396" i="2"/>
  <c r="AX404" i="2"/>
  <c r="AX322" i="2"/>
  <c r="AX56" i="5" s="1"/>
  <c r="AX797" i="2"/>
  <c r="BB693" i="2"/>
  <c r="BB706" i="2"/>
  <c r="AZ48" i="2"/>
  <c r="AZ39" i="2"/>
  <c r="AZ38" i="2"/>
  <c r="BA225" i="2"/>
  <c r="BA169" i="2"/>
  <c r="BA14" i="5" s="1"/>
  <c r="BA176" i="2"/>
  <c r="BA175" i="2"/>
  <c r="BA174" i="2" s="1"/>
  <c r="BA168" i="2"/>
  <c r="BA35" i="2"/>
  <c r="BA181" i="2"/>
  <c r="BA709" i="2"/>
  <c r="BA585" i="2"/>
  <c r="AY32" i="5"/>
  <c r="AY54" i="5" s="1"/>
  <c r="AY320" i="2"/>
  <c r="AZ243" i="2"/>
  <c r="AY31" i="5"/>
  <c r="AY312" i="2"/>
  <c r="AY317" i="2" s="1"/>
  <c r="AY309" i="2"/>
  <c r="AY310" i="2" s="1"/>
  <c r="AY256" i="2"/>
  <c r="AY385" i="2"/>
  <c r="AY390" i="2" s="1"/>
  <c r="AZ21" i="5"/>
  <c r="AZ228" i="2"/>
  <c r="AY281" i="2"/>
  <c r="AY283" i="2"/>
  <c r="AY285" i="2" s="1"/>
  <c r="BA161" i="2"/>
  <c r="BA701" i="2"/>
  <c r="BB698" i="2"/>
  <c r="AY33" i="5"/>
  <c r="AY55" i="5" s="1"/>
  <c r="AY321" i="2"/>
  <c r="AX53" i="5"/>
  <c r="AX35" i="5"/>
  <c r="BB151" i="2"/>
  <c r="BB699" i="2" l="1"/>
  <c r="BB707" i="2"/>
  <c r="AY103" i="5"/>
  <c r="AY104" i="5" s="1"/>
  <c r="AY396" i="2"/>
  <c r="AY328" i="2" s="1"/>
  <c r="AY58" i="5" s="1"/>
  <c r="AY404" i="2"/>
  <c r="AY322" i="2"/>
  <c r="AY56" i="5" s="1"/>
  <c r="AY797" i="2"/>
  <c r="AZ51" i="2"/>
  <c r="AZ17" i="5" s="1"/>
  <c r="AZ50" i="2"/>
  <c r="BA162" i="2"/>
  <c r="BB294" i="2"/>
  <c r="BB740" i="2"/>
  <c r="BA186" i="2"/>
  <c r="BA183" i="2"/>
  <c r="BA182" i="2"/>
  <c r="AY53" i="5"/>
  <c r="AY35" i="5"/>
  <c r="AZ23" i="5"/>
  <c r="AZ381" i="2"/>
  <c r="AZ229" i="2"/>
  <c r="AZ232" i="2"/>
  <c r="AZ230" i="2"/>
  <c r="AZ245" i="2"/>
  <c r="BC148" i="2"/>
  <c r="BB160" i="2"/>
  <c r="BB153" i="2"/>
  <c r="BB152" i="2"/>
  <c r="BB30" i="2"/>
  <c r="BB154" i="2"/>
  <c r="BA242" i="2"/>
  <c r="AX408" i="2"/>
  <c r="AX407" i="2"/>
  <c r="AX406" i="2"/>
  <c r="AX126" i="5"/>
  <c r="AX38" i="5"/>
  <c r="AX328" i="2"/>
  <c r="AX58" i="5" s="1"/>
  <c r="AX397" i="2"/>
  <c r="AZ237" i="2"/>
  <c r="BA20" i="5"/>
  <c r="BA236" i="2"/>
  <c r="AX48" i="5"/>
  <c r="AX128" i="5" s="1"/>
  <c r="AX323" i="2"/>
  <c r="AX57" i="5" s="1"/>
  <c r="AY391" i="2"/>
  <c r="AZ231" i="2"/>
  <c r="AX47" i="5" l="1"/>
  <c r="AX465" i="2"/>
  <c r="AX329" i="2"/>
  <c r="AY397" i="2"/>
  <c r="BB173" i="2"/>
  <c r="BC149" i="2"/>
  <c r="BD149" i="2" s="1"/>
  <c r="BC151" i="2"/>
  <c r="BC154" i="2"/>
  <c r="BC167" i="2" s="1"/>
  <c r="AY126" i="5"/>
  <c r="AY38" i="5"/>
  <c r="AY48" i="5"/>
  <c r="AY128" i="5" s="1"/>
  <c r="AY323" i="2"/>
  <c r="AY57" i="5" s="1"/>
  <c r="AX39" i="5"/>
  <c r="AY406" i="2"/>
  <c r="AZ257" i="2"/>
  <c r="AZ246" i="2"/>
  <c r="AZ251" i="2"/>
  <c r="AZ248" i="2"/>
  <c r="AZ249" i="2"/>
  <c r="AX598" i="2"/>
  <c r="AY407" i="2"/>
  <c r="AY420" i="2" s="1"/>
  <c r="AZ250" i="2"/>
  <c r="AY408" i="2"/>
  <c r="AX412" i="2"/>
  <c r="AW801" i="2"/>
  <c r="BA187" i="2"/>
  <c r="BA226" i="2"/>
  <c r="BA188" i="2"/>
  <c r="BA15" i="5" s="1"/>
  <c r="BA190" i="2"/>
  <c r="BA36" i="2"/>
  <c r="BA37" i="2" s="1"/>
  <c r="BB696" i="2"/>
  <c r="BB167" i="2"/>
  <c r="BD154" i="2"/>
  <c r="AZ233" i="2"/>
  <c r="BB295" i="2"/>
  <c r="BB743" i="2"/>
  <c r="AX43" i="5"/>
  <c r="AZ239" i="2"/>
  <c r="BB32" i="2"/>
  <c r="BB31" i="2"/>
  <c r="AZ30" i="5"/>
  <c r="AZ756" i="2"/>
  <c r="AZ611" i="2" s="1"/>
  <c r="AZ755" i="2"/>
  <c r="AZ759" i="2"/>
  <c r="AZ612" i="2" s="1"/>
  <c r="AZ718" i="2"/>
  <c r="AZ724" i="2"/>
  <c r="AZ723" i="2"/>
  <c r="AZ752" i="2"/>
  <c r="AZ327" i="2"/>
  <c r="AZ255" i="2"/>
  <c r="AZ326" i="2"/>
  <c r="AZ799" i="2"/>
  <c r="BA728" i="2"/>
  <c r="BA748" i="2" s="1"/>
  <c r="BA603" i="2"/>
  <c r="AZ605" i="2" l="1"/>
  <c r="AY808" i="2"/>
  <c r="AY412" i="2"/>
  <c r="AZ601" i="2"/>
  <c r="BC692" i="2"/>
  <c r="BB695" i="2"/>
  <c r="BB298" i="2"/>
  <c r="AX760" i="2"/>
  <c r="AY598" i="2"/>
  <c r="BC176" i="2"/>
  <c r="BC242" i="2" s="1"/>
  <c r="BC175" i="2"/>
  <c r="BC168" i="2"/>
  <c r="BC225" i="2"/>
  <c r="BC169" i="2"/>
  <c r="BC14" i="5" s="1"/>
  <c r="BC35" i="2"/>
  <c r="BC181" i="2"/>
  <c r="BC160" i="2"/>
  <c r="BC153" i="2"/>
  <c r="BC152" i="2"/>
  <c r="BC30" i="2"/>
  <c r="AZ111" i="5"/>
  <c r="BA48" i="2"/>
  <c r="BA39" i="2"/>
  <c r="BA38" i="2"/>
  <c r="AZ252" i="2"/>
  <c r="BD155" i="2"/>
  <c r="BD151" i="2"/>
  <c r="AZ268" i="2"/>
  <c r="AZ263" i="2"/>
  <c r="BB225" i="2"/>
  <c r="BB176" i="2"/>
  <c r="BB175" i="2"/>
  <c r="BB174" i="2" s="1"/>
  <c r="BB168" i="2"/>
  <c r="BB169" i="2"/>
  <c r="BB14" i="5" s="1"/>
  <c r="BB35" i="2"/>
  <c r="BB181" i="2"/>
  <c r="BD167" i="2"/>
  <c r="BA243" i="2"/>
  <c r="BB161" i="2"/>
  <c r="BA21" i="5"/>
  <c r="BA228" i="2"/>
  <c r="AZ385" i="2"/>
  <c r="AZ258" i="2"/>
  <c r="AZ274" i="2"/>
  <c r="AZ259" i="2"/>
  <c r="AZ261" i="2" s="1"/>
  <c r="AY47" i="5"/>
  <c r="AY465" i="2"/>
  <c r="AY329" i="2"/>
  <c r="AY39" i="5"/>
  <c r="AY43" i="5" s="1"/>
  <c r="AY419" i="2"/>
  <c r="AX130" i="5"/>
  <c r="AX94" i="5"/>
  <c r="AX95" i="5" s="1"/>
  <c r="AX44" i="5"/>
  <c r="AZ608" i="2"/>
  <c r="AZ602" i="2"/>
  <c r="BB702" i="2"/>
  <c r="AX584" i="2"/>
  <c r="AX600" i="2" s="1"/>
  <c r="AX422" i="2"/>
  <c r="AX417" i="2"/>
  <c r="AX414" i="2"/>
  <c r="AX423" i="2" s="1"/>
  <c r="AX127" i="5"/>
  <c r="AX85" i="5"/>
  <c r="AX59" i="5"/>
  <c r="AX112" i="5"/>
  <c r="AX432" i="2" l="1"/>
  <c r="AX616" i="2"/>
  <c r="AY130" i="5"/>
  <c r="AY94" i="5"/>
  <c r="AY95" i="5" s="1"/>
  <c r="AY44" i="5"/>
  <c r="AZ275" i="2"/>
  <c r="AZ276" i="2"/>
  <c r="AZ277" i="2" s="1"/>
  <c r="AZ279" i="2"/>
  <c r="BE148" i="2"/>
  <c r="BD153" i="2"/>
  <c r="BD30" i="2"/>
  <c r="BD32" i="2" s="1"/>
  <c r="BA245" i="2"/>
  <c r="BC183" i="2"/>
  <c r="BC186" i="2"/>
  <c r="BC182" i="2"/>
  <c r="BD157" i="2"/>
  <c r="BD169" i="2"/>
  <c r="BD14" i="5" s="1"/>
  <c r="BD35" i="2"/>
  <c r="BD181" i="2"/>
  <c r="BD183" i="2" s="1"/>
  <c r="AZ384" i="2"/>
  <c r="BB186" i="2"/>
  <c r="BB183" i="2"/>
  <c r="BB182" i="2"/>
  <c r="BC693" i="2"/>
  <c r="BC706" i="2"/>
  <c r="BD706" i="2" s="1"/>
  <c r="BA23" i="5"/>
  <c r="BA381" i="2"/>
  <c r="BA229" i="2"/>
  <c r="BA233" i="2" s="1"/>
  <c r="BA232" i="2"/>
  <c r="BA230" i="2"/>
  <c r="BC20" i="5"/>
  <c r="BC236" i="2"/>
  <c r="AX49" i="5"/>
  <c r="AX424" i="2"/>
  <c r="AX50" i="5" s="1"/>
  <c r="AX79" i="5" s="1"/>
  <c r="AY809" i="2"/>
  <c r="BA51" i="2"/>
  <c r="BA17" i="5" s="1"/>
  <c r="BA50" i="2"/>
  <c r="BA237" i="2"/>
  <c r="BA231" i="2"/>
  <c r="BB242" i="2"/>
  <c r="BD176" i="2"/>
  <c r="BD177" i="2" s="1"/>
  <c r="BC31" i="2"/>
  <c r="BC32" i="2"/>
  <c r="AY600" i="2"/>
  <c r="AY422" i="2"/>
  <c r="AY417" i="2"/>
  <c r="AY414" i="2"/>
  <c r="AY423" i="2" s="1"/>
  <c r="BC698" i="2"/>
  <c r="BB701" i="2"/>
  <c r="BB20" i="5"/>
  <c r="BD225" i="2"/>
  <c r="AZ604" i="2"/>
  <c r="AY127" i="5"/>
  <c r="AY85" i="5"/>
  <c r="AY59" i="5"/>
  <c r="AY112" i="5"/>
  <c r="BC161" i="2"/>
  <c r="BC162" i="2" s="1"/>
  <c r="BC728" i="2" s="1"/>
  <c r="BD728" i="2" s="1"/>
  <c r="BB162" i="2"/>
  <c r="AZ387" i="2"/>
  <c r="AZ264" i="2"/>
  <c r="AY760" i="2"/>
  <c r="AX763" i="2"/>
  <c r="AY584" i="2"/>
  <c r="AY810" i="2" s="1"/>
  <c r="AX785" i="2"/>
  <c r="AZ388" i="2"/>
  <c r="AZ269" i="2"/>
  <c r="BC173" i="2"/>
  <c r="BD173" i="2" s="1"/>
  <c r="BD160" i="2"/>
  <c r="BB394" i="2"/>
  <c r="AY432" i="2" l="1"/>
  <c r="AY616" i="2"/>
  <c r="BE149" i="2"/>
  <c r="BE151" i="2" s="1"/>
  <c r="AX105" i="5"/>
  <c r="AX106" i="5" s="1"/>
  <c r="AX778" i="2"/>
  <c r="BA30" i="5"/>
  <c r="BA755" i="2"/>
  <c r="BA759" i="2"/>
  <c r="BA612" i="2" s="1"/>
  <c r="BA756" i="2"/>
  <c r="BA611" i="2" s="1"/>
  <c r="BA724" i="2"/>
  <c r="BA723" i="2"/>
  <c r="BA752" i="2"/>
  <c r="BA718" i="2"/>
  <c r="BA255" i="2"/>
  <c r="BA327" i="2"/>
  <c r="BA326" i="2"/>
  <c r="BA799" i="2"/>
  <c r="AZ281" i="2"/>
  <c r="AZ283" i="2"/>
  <c r="AZ285" i="2" s="1"/>
  <c r="AY763" i="2"/>
  <c r="BD20" i="5"/>
  <c r="BD158" i="2"/>
  <c r="BE157" i="2"/>
  <c r="BF157" i="2" s="1"/>
  <c r="BG157" i="2" s="1"/>
  <c r="BD314" i="2"/>
  <c r="BD178" i="2"/>
  <c r="BE177" i="2"/>
  <c r="BD163" i="2"/>
  <c r="BD242" i="2"/>
  <c r="AX129" i="5"/>
  <c r="AX89" i="5"/>
  <c r="AX90" i="5" s="1"/>
  <c r="AX113" i="5"/>
  <c r="BC294" i="2"/>
  <c r="BD693" i="2"/>
  <c r="BC740" i="2"/>
  <c r="BC190" i="2"/>
  <c r="BC243" i="2" s="1"/>
  <c r="BC226" i="2"/>
  <c r="BC188" i="2"/>
  <c r="BC15" i="5" s="1"/>
  <c r="BC187" i="2"/>
  <c r="BC36" i="2"/>
  <c r="BC37" i="2" s="1"/>
  <c r="BB709" i="2"/>
  <c r="BB585" i="2"/>
  <c r="BD171" i="2"/>
  <c r="BD175" i="2"/>
  <c r="BD161" i="2"/>
  <c r="AZ32" i="5"/>
  <c r="AZ54" i="5" s="1"/>
  <c r="AZ320" i="2"/>
  <c r="BB236" i="2"/>
  <c r="BB728" i="2"/>
  <c r="BB748" i="2" s="1"/>
  <c r="BC603" i="2"/>
  <c r="BB603" i="2"/>
  <c r="BD603" i="2" s="1"/>
  <c r="BA257" i="2"/>
  <c r="BA246" i="2"/>
  <c r="BA248" i="2"/>
  <c r="BA252" i="2" s="1"/>
  <c r="BA251" i="2"/>
  <c r="BA249" i="2"/>
  <c r="BB226" i="2"/>
  <c r="BB188" i="2"/>
  <c r="BB15" i="5" s="1"/>
  <c r="BB187" i="2"/>
  <c r="BB190" i="2"/>
  <c r="BB36" i="2"/>
  <c r="BB37" i="2" s="1"/>
  <c r="BD186" i="2"/>
  <c r="BC699" i="2"/>
  <c r="BC707" i="2"/>
  <c r="BD707" i="2" s="1"/>
  <c r="AZ31" i="5"/>
  <c r="AZ312" i="2"/>
  <c r="AZ317" i="2" s="1"/>
  <c r="AZ309" i="2"/>
  <c r="AZ310" i="2" s="1"/>
  <c r="AZ256" i="2"/>
  <c r="BA250" i="2"/>
  <c r="AZ33" i="5"/>
  <c r="AZ55" i="5" s="1"/>
  <c r="AZ321" i="2"/>
  <c r="BA239" i="2"/>
  <c r="AZ390" i="2"/>
  <c r="AX69" i="5"/>
  <c r="AY811" i="2"/>
  <c r="AX664" i="2"/>
  <c r="AX786" i="2"/>
  <c r="AY785" i="2"/>
  <c r="AY49" i="5"/>
  <c r="AY424" i="2"/>
  <c r="BC174" i="2"/>
  <c r="BD174" i="2" s="1"/>
  <c r="AX62" i="5"/>
  <c r="AX433" i="2"/>
  <c r="AX446" i="2"/>
  <c r="AX447" i="2" s="1"/>
  <c r="AX448" i="2" s="1"/>
  <c r="AX449" i="2" s="1"/>
  <c r="BF148" i="2" l="1"/>
  <c r="BE153" i="2"/>
  <c r="BE30" i="2"/>
  <c r="BE32" i="2" s="1"/>
  <c r="BE154" i="2"/>
  <c r="BE167" i="2" s="1"/>
  <c r="AX715" i="2"/>
  <c r="AW800" i="2"/>
  <c r="AX667" i="2"/>
  <c r="AX672" i="2" s="1"/>
  <c r="BD740" i="2"/>
  <c r="BC748" i="2"/>
  <c r="BC696" i="2"/>
  <c r="BC695" i="2" s="1"/>
  <c r="BA111" i="5"/>
  <c r="AZ53" i="5"/>
  <c r="AZ35" i="5"/>
  <c r="BD294" i="2"/>
  <c r="BC295" i="2"/>
  <c r="BD295" i="2" s="1"/>
  <c r="BD699" i="2"/>
  <c r="BC743" i="2"/>
  <c r="BA268" i="2"/>
  <c r="BA263" i="2"/>
  <c r="BD185" i="2"/>
  <c r="BD188" i="2"/>
  <c r="BD15" i="5" s="1"/>
  <c r="BD36" i="2"/>
  <c r="BD37" i="2" s="1"/>
  <c r="AX86" i="5"/>
  <c r="AX75" i="5"/>
  <c r="AX64" i="5"/>
  <c r="AX114" i="5"/>
  <c r="BB48" i="2"/>
  <c r="BB39" i="2"/>
  <c r="BB38" i="2"/>
  <c r="BA601" i="2"/>
  <c r="BB243" i="2"/>
  <c r="BD190" i="2"/>
  <c r="BD191" i="2" s="1"/>
  <c r="BC48" i="2"/>
  <c r="BC39" i="2"/>
  <c r="BC38" i="2"/>
  <c r="AY105" i="5"/>
  <c r="AY106" i="5" s="1"/>
  <c r="AY778" i="2"/>
  <c r="BA608" i="2"/>
  <c r="BA385" i="2"/>
  <c r="BA259" i="2"/>
  <c r="BA261" i="2" s="1"/>
  <c r="BA258" i="2"/>
  <c r="AY50" i="5"/>
  <c r="AY474" i="2"/>
  <c r="BB239" i="2"/>
  <c r="BD236" i="2"/>
  <c r="BA602" i="2"/>
  <c r="AY69" i="5"/>
  <c r="AY664" i="2"/>
  <c r="AY667" i="2" s="1"/>
  <c r="AZ103" i="5"/>
  <c r="AZ104" i="5" s="1"/>
  <c r="AZ396" i="2"/>
  <c r="AZ391" i="2"/>
  <c r="AZ322" i="2"/>
  <c r="AZ56" i="5" s="1"/>
  <c r="AZ797" i="2"/>
  <c r="AY129" i="5"/>
  <c r="AY89" i="5"/>
  <c r="AY90" i="5" s="1"/>
  <c r="AY113" i="5"/>
  <c r="BD165" i="2"/>
  <c r="BE163" i="2"/>
  <c r="BE160" i="2" s="1"/>
  <c r="BD164" i="2"/>
  <c r="BA605" i="2"/>
  <c r="AY62" i="5"/>
  <c r="AY433" i="2"/>
  <c r="AY477" i="2" s="1"/>
  <c r="AY446" i="2"/>
  <c r="AY786" i="2"/>
  <c r="BB21" i="5"/>
  <c r="BB231" i="2"/>
  <c r="BB237" i="2"/>
  <c r="BD237" i="2" s="1"/>
  <c r="BD226" i="2"/>
  <c r="BB228" i="2"/>
  <c r="BC21" i="5"/>
  <c r="BC237" i="2"/>
  <c r="BC239" i="2" s="1"/>
  <c r="BC228" i="2"/>
  <c r="BD162" i="2"/>
  <c r="AX91" i="5"/>
  <c r="AX92" i="5" s="1"/>
  <c r="AX93" i="5" s="1"/>
  <c r="AX788" i="2"/>
  <c r="BC250" i="2"/>
  <c r="BC245" i="2"/>
  <c r="BE314" i="2"/>
  <c r="BF177" i="2"/>
  <c r="BE173" i="2" l="1"/>
  <c r="BE161" i="2" s="1"/>
  <c r="BA384" i="2"/>
  <c r="BA604" i="2"/>
  <c r="BA387" i="2"/>
  <c r="BA264" i="2"/>
  <c r="BA388" i="2"/>
  <c r="BA269" i="2"/>
  <c r="BD696" i="2"/>
  <c r="BD743" i="2"/>
  <c r="BC702" i="2"/>
  <c r="BC701" i="2" s="1"/>
  <c r="BC23" i="5"/>
  <c r="BC381" i="2"/>
  <c r="BC229" i="2"/>
  <c r="BC232" i="2"/>
  <c r="BC230" i="2"/>
  <c r="AY91" i="5"/>
  <c r="AY92" i="5" s="1"/>
  <c r="AY93" i="5" s="1"/>
  <c r="AY788" i="2"/>
  <c r="BD239" i="2"/>
  <c r="BB51" i="2"/>
  <c r="BB17" i="5" s="1"/>
  <c r="BB50" i="2"/>
  <c r="AY447" i="2"/>
  <c r="AY448" i="2" s="1"/>
  <c r="AY449" i="2" s="1"/>
  <c r="AY478" i="2"/>
  <c r="AX66" i="5"/>
  <c r="AX73" i="5" s="1"/>
  <c r="AX131" i="5" s="1"/>
  <c r="AX76" i="5"/>
  <c r="AX78" i="5" s="1"/>
  <c r="AX115" i="5"/>
  <c r="AY715" i="2"/>
  <c r="AX452" i="2"/>
  <c r="AX725" i="2"/>
  <c r="AX749" i="2" s="1"/>
  <c r="BF314" i="2"/>
  <c r="BG177" i="2"/>
  <c r="BG314" i="2" s="1"/>
  <c r="BC231" i="2"/>
  <c r="AY86" i="5"/>
  <c r="AY75" i="5"/>
  <c r="AY121" i="5" s="1"/>
  <c r="AY64" i="5"/>
  <c r="AY114" i="5"/>
  <c r="AY79" i="5"/>
  <c r="AY118" i="5"/>
  <c r="BC51" i="2"/>
  <c r="BC17" i="5" s="1"/>
  <c r="BC50" i="2"/>
  <c r="BC298" i="2"/>
  <c r="BE225" i="2"/>
  <c r="BE169" i="2"/>
  <c r="BE14" i="5" s="1"/>
  <c r="BE176" i="2"/>
  <c r="BE242" i="2" s="1"/>
  <c r="BE175" i="2"/>
  <c r="BE174" i="2" s="1"/>
  <c r="BE35" i="2"/>
  <c r="BE181" i="2"/>
  <c r="AZ48" i="5"/>
  <c r="AZ128" i="5" s="1"/>
  <c r="AZ323" i="2"/>
  <c r="AZ57" i="5" s="1"/>
  <c r="BD315" i="2"/>
  <c r="BE191" i="2"/>
  <c r="BD192" i="2"/>
  <c r="AZ126" i="5"/>
  <c r="BC257" i="2"/>
  <c r="BC246" i="2"/>
  <c r="BC248" i="2"/>
  <c r="BC251" i="2"/>
  <c r="BC249" i="2"/>
  <c r="BB23" i="5"/>
  <c r="BB381" i="2"/>
  <c r="BB229" i="2"/>
  <c r="BB233" i="2" s="1"/>
  <c r="BB232" i="2"/>
  <c r="BB230" i="2"/>
  <c r="AZ397" i="2"/>
  <c r="AZ328" i="2"/>
  <c r="AZ58" i="5" s="1"/>
  <c r="BD243" i="2"/>
  <c r="BB245" i="2"/>
  <c r="BB250" i="2" s="1"/>
  <c r="BD21" i="5"/>
  <c r="BD231" i="2"/>
  <c r="BD228" i="2"/>
  <c r="BD48" i="2"/>
  <c r="BD51" i="2" s="1"/>
  <c r="BD17" i="5" s="1"/>
  <c r="BD39" i="2"/>
  <c r="BF163" i="2"/>
  <c r="BE164" i="2"/>
  <c r="AY672" i="2"/>
  <c r="BD666" i="2"/>
  <c r="AZ666" i="2"/>
  <c r="BA274" i="2"/>
  <c r="BF151" i="2"/>
  <c r="BF149" i="2"/>
  <c r="BG148" i="2" l="1"/>
  <c r="BF160" i="2"/>
  <c r="BF153" i="2"/>
  <c r="BF30" i="2"/>
  <c r="BF32" i="2" s="1"/>
  <c r="BA275" i="2"/>
  <c r="BA279" i="2"/>
  <c r="BA276" i="2"/>
  <c r="BA277" i="2" s="1"/>
  <c r="BA33" i="5"/>
  <c r="BA55" i="5" s="1"/>
  <c r="BA321" i="2"/>
  <c r="BC233" i="2"/>
  <c r="BD245" i="2"/>
  <c r="BC252" i="2"/>
  <c r="BE183" i="2"/>
  <c r="BE186" i="2"/>
  <c r="AY66" i="5"/>
  <c r="AY73" i="5" s="1"/>
  <c r="AY131" i="5" s="1"/>
  <c r="AY76" i="5"/>
  <c r="AY78" i="5" s="1"/>
  <c r="AY115" i="5"/>
  <c r="AY122" i="5"/>
  <c r="BC30" i="5"/>
  <c r="BC755" i="2"/>
  <c r="BD755" i="2" s="1"/>
  <c r="BC759" i="2"/>
  <c r="BC752" i="2"/>
  <c r="BC756" i="2"/>
  <c r="BC724" i="2"/>
  <c r="BD724" i="2" s="1"/>
  <c r="BC723" i="2"/>
  <c r="BC718" i="2"/>
  <c r="BD718" i="2" s="1"/>
  <c r="BC384" i="2"/>
  <c r="BC255" i="2"/>
  <c r="BC327" i="2"/>
  <c r="BC799" i="2"/>
  <c r="BA32" i="5"/>
  <c r="BA54" i="5" s="1"/>
  <c r="BA320" i="2"/>
  <c r="BC385" i="2"/>
  <c r="BC258" i="2"/>
  <c r="BG163" i="2"/>
  <c r="BG164" i="2" s="1"/>
  <c r="BF164" i="2"/>
  <c r="BD702" i="2"/>
  <c r="AZ47" i="5"/>
  <c r="AZ329" i="2"/>
  <c r="BE20" i="5"/>
  <c r="BE236" i="2"/>
  <c r="BA31" i="5"/>
  <c r="BA309" i="2"/>
  <c r="BA310" i="2" s="1"/>
  <c r="BA256" i="2"/>
  <c r="BA312" i="2"/>
  <c r="BA317" i="2" s="1"/>
  <c r="BE315" i="2"/>
  <c r="BF191" i="2"/>
  <c r="BC394" i="2"/>
  <c r="BD298" i="2"/>
  <c r="AX96" i="5"/>
  <c r="AX97" i="5" s="1"/>
  <c r="AX790" i="2"/>
  <c r="AW802" i="2"/>
  <c r="BE692" i="2"/>
  <c r="BD695" i="2"/>
  <c r="BA390" i="2"/>
  <c r="BA797" i="2" s="1"/>
  <c r="BB246" i="2"/>
  <c r="BB257" i="2"/>
  <c r="BB251" i="2"/>
  <c r="BB248" i="2"/>
  <c r="BB249" i="2"/>
  <c r="BD23" i="5"/>
  <c r="BD229" i="2"/>
  <c r="BD233" i="2" s="1"/>
  <c r="BD232" i="2"/>
  <c r="BD230" i="2"/>
  <c r="AX7" i="5"/>
  <c r="AX10" i="5" s="1"/>
  <c r="AX795" i="2"/>
  <c r="AX456" i="2"/>
  <c r="AY461" i="2"/>
  <c r="BD748" i="2"/>
  <c r="BF154" i="2"/>
  <c r="BF167" i="2" s="1"/>
  <c r="BB30" i="5"/>
  <c r="BB755" i="2"/>
  <c r="BB759" i="2"/>
  <c r="BB612" i="2" s="1"/>
  <c r="BB756" i="2"/>
  <c r="BB611" i="2" s="1"/>
  <c r="BB724" i="2"/>
  <c r="BB723" i="2"/>
  <c r="BB752" i="2"/>
  <c r="BB718" i="2"/>
  <c r="BB255" i="2"/>
  <c r="BB327" i="2"/>
  <c r="BB326" i="2"/>
  <c r="BD381" i="2"/>
  <c r="BB799" i="2"/>
  <c r="AY452" i="2"/>
  <c r="AY725" i="2"/>
  <c r="AY749" i="2" s="1"/>
  <c r="BE162" i="2"/>
  <c r="AY96" i="5" l="1"/>
  <c r="AY97" i="5" s="1"/>
  <c r="AY790" i="2"/>
  <c r="BC605" i="2"/>
  <c r="BB605" i="2"/>
  <c r="BD605" i="2" s="1"/>
  <c r="AX107" i="5"/>
  <c r="AX108" i="5" s="1"/>
  <c r="AX98" i="5"/>
  <c r="BC263" i="2"/>
  <c r="BC268" i="2"/>
  <c r="BC31" i="5"/>
  <c r="BC53" i="5" s="1"/>
  <c r="BC309" i="2"/>
  <c r="BC310" i="2" s="1"/>
  <c r="BC256" i="2"/>
  <c r="BC312" i="2"/>
  <c r="BC317" i="2" s="1"/>
  <c r="BC709" i="2"/>
  <c r="BC585" i="2"/>
  <c r="BD585" i="2" s="1"/>
  <c r="BC326" i="2"/>
  <c r="BD394" i="2"/>
  <c r="BD675" i="2"/>
  <c r="BF225" i="2"/>
  <c r="BF169" i="2"/>
  <c r="BF14" i="5" s="1"/>
  <c r="BF176" i="2"/>
  <c r="BF242" i="2" s="1"/>
  <c r="BF35" i="2"/>
  <c r="BF181" i="2"/>
  <c r="BB252" i="2"/>
  <c r="BF315" i="2"/>
  <c r="BG191" i="2"/>
  <c r="BG315" i="2" s="1"/>
  <c r="BC259" i="2"/>
  <c r="BC261" i="2" s="1"/>
  <c r="BD723" i="2"/>
  <c r="BE190" i="2"/>
  <c r="BE243" i="2" s="1"/>
  <c r="BE226" i="2"/>
  <c r="BE188" i="2"/>
  <c r="BE15" i="5" s="1"/>
  <c r="BE36" i="2"/>
  <c r="BE37" i="2" s="1"/>
  <c r="BA283" i="2"/>
  <c r="BA285" i="2" s="1"/>
  <c r="BA281" i="2"/>
  <c r="AY7" i="5"/>
  <c r="AY10" i="5" s="1"/>
  <c r="AY795" i="2"/>
  <c r="AZ460" i="2"/>
  <c r="AY456" i="2"/>
  <c r="BD677" i="2"/>
  <c r="BB111" i="5"/>
  <c r="BB263" i="2"/>
  <c r="BB268" i="2"/>
  <c r="BB385" i="2"/>
  <c r="BB258" i="2"/>
  <c r="BB259" i="2"/>
  <c r="BB261" i="2" s="1"/>
  <c r="BD257" i="2"/>
  <c r="BD756" i="2"/>
  <c r="BD680" i="2" s="1"/>
  <c r="BC611" i="2"/>
  <c r="BD611" i="2" s="1"/>
  <c r="BD752" i="2"/>
  <c r="BC608" i="2"/>
  <c r="BD246" i="2"/>
  <c r="BD251" i="2"/>
  <c r="BD248" i="2"/>
  <c r="BD249" i="2"/>
  <c r="BD30" i="5"/>
  <c r="BD255" i="2"/>
  <c r="BD327" i="2"/>
  <c r="BD799" i="2"/>
  <c r="BC601" i="2"/>
  <c r="BB601" i="2"/>
  <c r="AX99" i="5"/>
  <c r="AX100" i="5" s="1"/>
  <c r="AX101" i="5" s="1"/>
  <c r="AX102" i="5" s="1"/>
  <c r="AX82" i="5"/>
  <c r="AX83" i="5"/>
  <c r="AX472" i="2"/>
  <c r="AX84" i="5"/>
  <c r="BA103" i="5"/>
  <c r="BA104" i="5" s="1"/>
  <c r="BA396" i="2"/>
  <c r="BA391" i="2"/>
  <c r="BA322" i="2"/>
  <c r="BA56" i="5" s="1"/>
  <c r="AZ127" i="5"/>
  <c r="AZ85" i="5"/>
  <c r="AZ59" i="5"/>
  <c r="AZ112" i="5"/>
  <c r="BD759" i="2"/>
  <c r="BD681" i="2" s="1"/>
  <c r="BC612" i="2"/>
  <c r="BD612" i="2" s="1"/>
  <c r="BD250" i="2"/>
  <c r="BB608" i="2"/>
  <c r="BD608" i="2" s="1"/>
  <c r="BE698" i="2"/>
  <c r="BD701" i="2"/>
  <c r="BD679" i="2"/>
  <c r="BF173" i="2"/>
  <c r="BF161" i="2" s="1"/>
  <c r="BF162" i="2" s="1"/>
  <c r="BE728" i="2"/>
  <c r="BE603" i="2"/>
  <c r="BC602" i="2"/>
  <c r="BC604" i="2" s="1"/>
  <c r="BB602" i="2"/>
  <c r="BE693" i="2"/>
  <c r="BE706" i="2" s="1"/>
  <c r="BA53" i="5"/>
  <c r="BA35" i="5"/>
  <c r="BC111" i="5"/>
  <c r="BG151" i="2"/>
  <c r="BG154" i="2" s="1"/>
  <c r="BG167" i="2" s="1"/>
  <c r="BG149" i="2"/>
  <c r="BG225" i="2" l="1"/>
  <c r="BG169" i="2"/>
  <c r="BG14" i="5" s="1"/>
  <c r="BG176" i="2"/>
  <c r="BG242" i="2" s="1"/>
  <c r="BG175" i="2"/>
  <c r="BG35" i="2"/>
  <c r="BG181" i="2"/>
  <c r="BF728" i="2"/>
  <c r="BF603" i="2"/>
  <c r="BD601" i="2"/>
  <c r="BB387" i="2"/>
  <c r="BB264" i="2"/>
  <c r="BD263" i="2"/>
  <c r="BE48" i="2"/>
  <c r="BE51" i="2" s="1"/>
  <c r="BE17" i="5" s="1"/>
  <c r="BE39" i="2"/>
  <c r="BF175" i="2"/>
  <c r="BF174" i="2" s="1"/>
  <c r="BA126" i="5"/>
  <c r="BE679" i="2"/>
  <c r="BF679" i="2" s="1"/>
  <c r="BG679" i="2" s="1"/>
  <c r="BD687" i="2"/>
  <c r="BE21" i="5"/>
  <c r="BE237" i="2"/>
  <c r="BE239" i="2" s="1"/>
  <c r="BE228" i="2"/>
  <c r="BC388" i="2"/>
  <c r="BC269" i="2"/>
  <c r="BD678" i="2"/>
  <c r="BE250" i="2"/>
  <c r="BE245" i="2"/>
  <c r="BF20" i="5"/>
  <c r="BF236" i="2"/>
  <c r="BC387" i="2"/>
  <c r="BC264" i="2"/>
  <c r="BC274" i="2"/>
  <c r="BE699" i="2"/>
  <c r="BE707" i="2"/>
  <c r="BA48" i="5"/>
  <c r="BA128" i="5" s="1"/>
  <c r="BA323" i="2"/>
  <c r="BA57" i="5" s="1"/>
  <c r="BD688" i="2"/>
  <c r="BE680" i="2"/>
  <c r="BF680" i="2" s="1"/>
  <c r="BG680" i="2" s="1"/>
  <c r="BD685" i="2"/>
  <c r="BE677" i="2"/>
  <c r="BF677" i="2" s="1"/>
  <c r="BG677" i="2" s="1"/>
  <c r="BE294" i="2"/>
  <c r="BE740" i="2"/>
  <c r="BA397" i="2"/>
  <c r="BA328" i="2"/>
  <c r="BA58" i="5" s="1"/>
  <c r="AY99" i="5"/>
  <c r="AY100" i="5" s="1"/>
  <c r="AY101" i="5" s="1"/>
  <c r="AY102" i="5" s="1"/>
  <c r="AY82" i="5"/>
  <c r="AY83" i="5"/>
  <c r="AY467" i="2"/>
  <c r="AY466" i="2"/>
  <c r="AY472" i="2"/>
  <c r="AY84" i="5"/>
  <c r="BD676" i="2"/>
  <c r="BD683" i="2"/>
  <c r="BE675" i="2"/>
  <c r="BF675" i="2" s="1"/>
  <c r="BG675" i="2" s="1"/>
  <c r="BB604" i="2"/>
  <c r="BD602" i="2"/>
  <c r="BD111" i="5"/>
  <c r="BD258" i="2"/>
  <c r="BD259" i="2"/>
  <c r="BD261" i="2" s="1"/>
  <c r="AZ401" i="2"/>
  <c r="AZ462" i="2"/>
  <c r="BD709" i="2"/>
  <c r="BD326" i="2"/>
  <c r="BB274" i="2"/>
  <c r="AY120" i="5"/>
  <c r="AY119" i="5"/>
  <c r="AY123" i="5"/>
  <c r="BD689" i="2"/>
  <c r="BE681" i="2"/>
  <c r="BF681" i="2" s="1"/>
  <c r="BG681" i="2" s="1"/>
  <c r="BD252" i="2"/>
  <c r="BB384" i="2"/>
  <c r="BF183" i="2"/>
  <c r="BF186" i="2"/>
  <c r="BG160" i="2"/>
  <c r="BG153" i="2"/>
  <c r="BG30" i="2"/>
  <c r="BG32" i="2" s="1"/>
  <c r="BB388" i="2"/>
  <c r="BB269" i="2"/>
  <c r="BD268" i="2"/>
  <c r="AY107" i="5"/>
  <c r="AY108" i="5" s="1"/>
  <c r="AY98" i="5"/>
  <c r="BD269" i="2" l="1"/>
  <c r="BD270" i="2"/>
  <c r="BB32" i="5"/>
  <c r="BB54" i="5" s="1"/>
  <c r="BB320" i="2"/>
  <c r="BD387" i="2"/>
  <c r="BB33" i="5"/>
  <c r="BB55" i="5" s="1"/>
  <c r="BB321" i="2"/>
  <c r="BD388" i="2"/>
  <c r="BE246" i="2"/>
  <c r="BE257" i="2"/>
  <c r="BE251" i="2"/>
  <c r="BE248" i="2"/>
  <c r="BE249" i="2"/>
  <c r="BE678" i="2"/>
  <c r="BF678" i="2" s="1"/>
  <c r="BG678" i="2" s="1"/>
  <c r="BD686" i="2"/>
  <c r="BG173" i="2"/>
  <c r="BG161" i="2" s="1"/>
  <c r="BG162" i="2"/>
  <c r="BF190" i="2"/>
  <c r="BF243" i="2" s="1"/>
  <c r="BF226" i="2"/>
  <c r="BF188" i="2"/>
  <c r="BF15" i="5" s="1"/>
  <c r="BF36" i="2"/>
  <c r="BF37" i="2" s="1"/>
  <c r="BE295" i="2"/>
  <c r="BE743" i="2"/>
  <c r="BG186" i="2"/>
  <c r="BG183" i="2"/>
  <c r="BD604" i="2"/>
  <c r="BA47" i="5"/>
  <c r="BA329" i="2"/>
  <c r="BB275" i="2"/>
  <c r="BB279" i="2"/>
  <c r="BB276" i="2"/>
  <c r="BB277" i="2" s="1"/>
  <c r="BD274" i="2"/>
  <c r="BB31" i="5"/>
  <c r="BB312" i="2"/>
  <c r="BB317" i="2" s="1"/>
  <c r="BB309" i="2"/>
  <c r="BB310" i="2" s="1"/>
  <c r="BB256" i="2"/>
  <c r="BD384" i="2"/>
  <c r="AZ463" i="2"/>
  <c r="AZ465" i="2"/>
  <c r="BE676" i="2"/>
  <c r="BF676" i="2" s="1"/>
  <c r="BG676" i="2" s="1"/>
  <c r="BD684" i="2"/>
  <c r="BE696" i="2"/>
  <c r="BC797" i="2"/>
  <c r="BC279" i="2"/>
  <c r="BC276" i="2"/>
  <c r="BC277" i="2" s="1"/>
  <c r="BC275" i="2"/>
  <c r="BC33" i="5"/>
  <c r="BC55" i="5" s="1"/>
  <c r="BC321" i="2"/>
  <c r="BG174" i="2"/>
  <c r="BB390" i="2"/>
  <c r="BE298" i="2"/>
  <c r="BE394" i="2" s="1"/>
  <c r="BE23" i="5"/>
  <c r="BE381" i="2"/>
  <c r="BE232" i="2"/>
  <c r="BE229" i="2"/>
  <c r="BE230" i="2"/>
  <c r="AZ36" i="5"/>
  <c r="AZ38" i="5" s="1"/>
  <c r="AZ404" i="2"/>
  <c r="BC32" i="5"/>
  <c r="BC320" i="2"/>
  <c r="BC390" i="2"/>
  <c r="AY476" i="2"/>
  <c r="AY475" i="2"/>
  <c r="AY479" i="2"/>
  <c r="BE231" i="2"/>
  <c r="BD264" i="2"/>
  <c r="BD265" i="2"/>
  <c r="BG20" i="5"/>
  <c r="BG236" i="2"/>
  <c r="BE709" i="2" l="1"/>
  <c r="BE585" i="2"/>
  <c r="BE326" i="2"/>
  <c r="BB283" i="2"/>
  <c r="BB285" i="2" s="1"/>
  <c r="BB281" i="2"/>
  <c r="BD279" i="2"/>
  <c r="BE702" i="2"/>
  <c r="BC54" i="5"/>
  <c r="BC35" i="5"/>
  <c r="BB103" i="5"/>
  <c r="BB104" i="5" s="1"/>
  <c r="BB396" i="2"/>
  <c r="BB391" i="2"/>
  <c r="BB322" i="2"/>
  <c r="BB56" i="5" s="1"/>
  <c r="BE385" i="2"/>
  <c r="BE258" i="2"/>
  <c r="AZ406" i="2"/>
  <c r="AZ407" i="2"/>
  <c r="AZ408" i="2"/>
  <c r="AZ412" i="2" s="1"/>
  <c r="BB797" i="2"/>
  <c r="BF48" i="2"/>
  <c r="BF51" i="2" s="1"/>
  <c r="BF17" i="5" s="1"/>
  <c r="BF39" i="2"/>
  <c r="BD33" i="5"/>
  <c r="BD55" i="5" s="1"/>
  <c r="BD321" i="2"/>
  <c r="BF21" i="5"/>
  <c r="BF237" i="2"/>
  <c r="BF239" i="2" s="1"/>
  <c r="BF228" i="2"/>
  <c r="BF245" i="2"/>
  <c r="BE265" i="2"/>
  <c r="BF265" i="2" s="1"/>
  <c r="BG265" i="2" s="1"/>
  <c r="BD266" i="2"/>
  <c r="BG728" i="2"/>
  <c r="BG603" i="2"/>
  <c r="BD32" i="5"/>
  <c r="BD54" i="5" s="1"/>
  <c r="BD320" i="2"/>
  <c r="BC283" i="2"/>
  <c r="BC285" i="2" s="1"/>
  <c r="BC281" i="2"/>
  <c r="BA127" i="5"/>
  <c r="BA85" i="5"/>
  <c r="BA59" i="5"/>
  <c r="BA112" i="5"/>
  <c r="BE748" i="2"/>
  <c r="BB53" i="5"/>
  <c r="BB35" i="5"/>
  <c r="BD31" i="5"/>
  <c r="BD309" i="2"/>
  <c r="BD310" i="2" s="1"/>
  <c r="BD312" i="2"/>
  <c r="BD317" i="2" s="1"/>
  <c r="BD256" i="2"/>
  <c r="BD385" i="2"/>
  <c r="BD390" i="2" s="1"/>
  <c r="BE233" i="2"/>
  <c r="BE30" i="5"/>
  <c r="BE755" i="2"/>
  <c r="BE759" i="2"/>
  <c r="BE612" i="2" s="1"/>
  <c r="BE756" i="2"/>
  <c r="BE611" i="2" s="1"/>
  <c r="BE724" i="2"/>
  <c r="BE723" i="2"/>
  <c r="BE752" i="2"/>
  <c r="BE718" i="2"/>
  <c r="BE384" i="2"/>
  <c r="BE255" i="2"/>
  <c r="BE259" i="2" s="1"/>
  <c r="BE261" i="2" s="1"/>
  <c r="BE327" i="2"/>
  <c r="BE799" i="2"/>
  <c r="BD797" i="2"/>
  <c r="BD276" i="2"/>
  <c r="BD277" i="2" s="1"/>
  <c r="BD275" i="2"/>
  <c r="BD271" i="2"/>
  <c r="BE270" i="2"/>
  <c r="BF270" i="2" s="1"/>
  <c r="BG270" i="2" s="1"/>
  <c r="BC103" i="5"/>
  <c r="BC104" i="5" s="1"/>
  <c r="BC396" i="2"/>
  <c r="BC391" i="2"/>
  <c r="BC322" i="2"/>
  <c r="BC56" i="5" s="1"/>
  <c r="BF692" i="2"/>
  <c r="BE695" i="2"/>
  <c r="BG226" i="2"/>
  <c r="BG190" i="2"/>
  <c r="BG243" i="2" s="1"/>
  <c r="BG188" i="2"/>
  <c r="BG15" i="5" s="1"/>
  <c r="BG36" i="2"/>
  <c r="BG37" i="2" s="1"/>
  <c r="BE252" i="2"/>
  <c r="BB397" i="2" l="1"/>
  <c r="BB328" i="2"/>
  <c r="BB58" i="5" s="1"/>
  <c r="BF257" i="2"/>
  <c r="BF246" i="2"/>
  <c r="BF251" i="2"/>
  <c r="BF248" i="2"/>
  <c r="BF249" i="2"/>
  <c r="BC126" i="5"/>
  <c r="BE111" i="5"/>
  <c r="BF250" i="2"/>
  <c r="AZ598" i="2"/>
  <c r="AZ414" i="2"/>
  <c r="AZ423" i="2" s="1"/>
  <c r="AZ417" i="2"/>
  <c r="AZ422" i="2"/>
  <c r="AZ584" i="2"/>
  <c r="AZ785" i="2" s="1"/>
  <c r="BF693" i="2"/>
  <c r="BF706" i="2"/>
  <c r="BF23" i="5"/>
  <c r="BF381" i="2"/>
  <c r="BF232" i="2"/>
  <c r="BF229" i="2"/>
  <c r="BF230" i="2"/>
  <c r="AZ39" i="5"/>
  <c r="AZ43" i="5" s="1"/>
  <c r="BF698" i="2"/>
  <c r="BE701" i="2"/>
  <c r="BD103" i="5"/>
  <c r="BD104" i="5" s="1"/>
  <c r="BD396" i="2"/>
  <c r="BD328" i="2" s="1"/>
  <c r="BD58" i="5" s="1"/>
  <c r="BD322" i="2"/>
  <c r="BD56" i="5" s="1"/>
  <c r="BE268" i="2"/>
  <c r="BE263" i="2"/>
  <c r="BF231" i="2"/>
  <c r="BD281" i="2"/>
  <c r="BD283" i="2"/>
  <c r="BD285" i="2" s="1"/>
  <c r="BC48" i="5"/>
  <c r="BC128" i="5" s="1"/>
  <c r="BC323" i="2"/>
  <c r="BC57" i="5" s="1"/>
  <c r="BE31" i="5"/>
  <c r="BE53" i="5" s="1"/>
  <c r="BE309" i="2"/>
  <c r="BE310" i="2" s="1"/>
  <c r="BE256" i="2"/>
  <c r="BE312" i="2"/>
  <c r="BE317" i="2" s="1"/>
  <c r="BG245" i="2"/>
  <c r="BG21" i="5"/>
  <c r="BG237" i="2"/>
  <c r="BG239" i="2" s="1"/>
  <c r="BG228" i="2"/>
  <c r="BC397" i="2"/>
  <c r="BC328" i="2"/>
  <c r="BC58" i="5" s="1"/>
  <c r="BE601" i="2"/>
  <c r="BE608" i="2"/>
  <c r="BD53" i="5"/>
  <c r="BD35" i="5"/>
  <c r="BB126" i="5"/>
  <c r="BE602" i="2"/>
  <c r="BE604" i="2" s="1"/>
  <c r="BG48" i="2"/>
  <c r="BG51" i="2" s="1"/>
  <c r="BG17" i="5" s="1"/>
  <c r="BG39" i="2"/>
  <c r="BE605" i="2"/>
  <c r="BB48" i="5"/>
  <c r="BB128" i="5" s="1"/>
  <c r="BB323" i="2"/>
  <c r="BB57" i="5" s="1"/>
  <c r="BD391" i="2"/>
  <c r="BD126" i="5" l="1"/>
  <c r="BF233" i="2"/>
  <c r="BD48" i="5"/>
  <c r="BD128" i="5" s="1"/>
  <c r="BD323" i="2"/>
  <c r="BD57" i="5" s="1"/>
  <c r="BG246" i="2"/>
  <c r="BG257" i="2"/>
  <c r="BG251" i="2"/>
  <c r="BG248" i="2"/>
  <c r="BG249" i="2"/>
  <c r="BE388" i="2"/>
  <c r="BE269" i="2"/>
  <c r="BF30" i="5"/>
  <c r="BF755" i="2"/>
  <c r="BF759" i="2"/>
  <c r="BF612" i="2" s="1"/>
  <c r="BF756" i="2"/>
  <c r="BF611" i="2" s="1"/>
  <c r="BF724" i="2"/>
  <c r="BF723" i="2"/>
  <c r="BF752" i="2"/>
  <c r="BF718" i="2"/>
  <c r="BF255" i="2"/>
  <c r="BF327" i="2"/>
  <c r="BF799" i="2"/>
  <c r="BG250" i="2"/>
  <c r="BF294" i="2"/>
  <c r="BF740" i="2"/>
  <c r="BE387" i="2"/>
  <c r="BE264" i="2"/>
  <c r="BE274" i="2"/>
  <c r="AZ786" i="2"/>
  <c r="BF252" i="2"/>
  <c r="BC47" i="5"/>
  <c r="BC329" i="2"/>
  <c r="BF699" i="2"/>
  <c r="BF707" i="2" s="1"/>
  <c r="AZ49" i="5"/>
  <c r="AZ424" i="2"/>
  <c r="AZ50" i="5" s="1"/>
  <c r="AZ79" i="5" s="1"/>
  <c r="BG23" i="5"/>
  <c r="BG381" i="2"/>
  <c r="BG232" i="2"/>
  <c r="BG229" i="2"/>
  <c r="BG230" i="2"/>
  <c r="BF385" i="2"/>
  <c r="BF384" i="2" s="1"/>
  <c r="BF258" i="2"/>
  <c r="AZ44" i="5"/>
  <c r="AZ130" i="5"/>
  <c r="AZ94" i="5"/>
  <c r="AZ95" i="5" s="1"/>
  <c r="BG231" i="2"/>
  <c r="AZ600" i="2"/>
  <c r="AZ760" i="2"/>
  <c r="BB47" i="5"/>
  <c r="BB329" i="2"/>
  <c r="BD397" i="2"/>
  <c r="BF31" i="5" l="1"/>
  <c r="BF53" i="5" s="1"/>
  <c r="BF256" i="2"/>
  <c r="BF312" i="2"/>
  <c r="BF317" i="2" s="1"/>
  <c r="BD47" i="5"/>
  <c r="BD329" i="2"/>
  <c r="BC127" i="5"/>
  <c r="BC85" i="5"/>
  <c r="BC59" i="5"/>
  <c r="BC112" i="5"/>
  <c r="BE33" i="5"/>
  <c r="BE55" i="5" s="1"/>
  <c r="BE321" i="2"/>
  <c r="BF263" i="2"/>
  <c r="BF268" i="2"/>
  <c r="BG233" i="2"/>
  <c r="BG252" i="2"/>
  <c r="AZ763" i="2"/>
  <c r="BG601" i="2"/>
  <c r="BF601" i="2"/>
  <c r="AZ432" i="2"/>
  <c r="AZ616" i="2"/>
  <c r="BG30" i="5"/>
  <c r="BG759" i="2"/>
  <c r="BG612" i="2" s="1"/>
  <c r="BG756" i="2"/>
  <c r="BG611" i="2" s="1"/>
  <c r="BG723" i="2"/>
  <c r="BG752" i="2"/>
  <c r="BG718" i="2"/>
  <c r="BG755" i="2"/>
  <c r="BG724" i="2"/>
  <c r="BG384" i="2"/>
  <c r="BG255" i="2"/>
  <c r="BG327" i="2"/>
  <c r="BG799" i="2"/>
  <c r="AZ91" i="5"/>
  <c r="AZ92" i="5" s="1"/>
  <c r="BF608" i="2"/>
  <c r="BG385" i="2"/>
  <c r="BG258" i="2"/>
  <c r="BB127" i="5"/>
  <c r="BB85" i="5"/>
  <c r="BB59" i="5"/>
  <c r="BB112" i="5"/>
  <c r="BE797" i="2"/>
  <c r="BE276" i="2"/>
  <c r="BE277" i="2" s="1"/>
  <c r="BE275" i="2"/>
  <c r="BE279" i="2"/>
  <c r="BG602" i="2"/>
  <c r="BG604" i="2" s="1"/>
  <c r="BF602" i="2"/>
  <c r="BF604" i="2" s="1"/>
  <c r="BG605" i="2"/>
  <c r="BF605" i="2"/>
  <c r="AZ129" i="5"/>
  <c r="AZ113" i="5"/>
  <c r="AZ89" i="5"/>
  <c r="AZ90" i="5" s="1"/>
  <c r="BE32" i="5"/>
  <c r="BE320" i="2"/>
  <c r="BE390" i="2"/>
  <c r="BF696" i="2"/>
  <c r="BF259" i="2"/>
  <c r="BF261" i="2" s="1"/>
  <c r="BF295" i="2"/>
  <c r="BF743" i="2"/>
  <c r="BF748" i="2" s="1"/>
  <c r="BF298" i="2"/>
  <c r="BF394" i="2" s="1"/>
  <c r="BF111" i="5"/>
  <c r="AZ69" i="5" l="1"/>
  <c r="AZ664" i="2"/>
  <c r="BG263" i="2"/>
  <c r="BG268" i="2"/>
  <c r="BG31" i="5"/>
  <c r="BG53" i="5" s="1"/>
  <c r="BG312" i="2"/>
  <c r="BG317" i="2" s="1"/>
  <c r="BG256" i="2"/>
  <c r="AZ105" i="5"/>
  <c r="AZ778" i="2"/>
  <c r="AZ788" i="2" s="1"/>
  <c r="BF709" i="2"/>
  <c r="BF585" i="2"/>
  <c r="BF326" i="2"/>
  <c r="BF702" i="2"/>
  <c r="BG259" i="2"/>
  <c r="BG261" i="2" s="1"/>
  <c r="AZ62" i="5"/>
  <c r="AZ446" i="2"/>
  <c r="AZ447" i="2" s="1"/>
  <c r="AZ448" i="2" s="1"/>
  <c r="AZ449" i="2" s="1"/>
  <c r="AZ433" i="2"/>
  <c r="BG608" i="2"/>
  <c r="BD127" i="5"/>
  <c r="BD85" i="5"/>
  <c r="BD59" i="5"/>
  <c r="BD112" i="5"/>
  <c r="BG692" i="2"/>
  <c r="BF695" i="2"/>
  <c r="BE103" i="5"/>
  <c r="BE104" i="5" s="1"/>
  <c r="BE396" i="2"/>
  <c r="BE391" i="2"/>
  <c r="BE322" i="2"/>
  <c r="BE56" i="5" s="1"/>
  <c r="BE281" i="2"/>
  <c r="BE283" i="2"/>
  <c r="BE285" i="2" s="1"/>
  <c r="BF388" i="2"/>
  <c r="BF269" i="2"/>
  <c r="BE54" i="5"/>
  <c r="BE35" i="5"/>
  <c r="BF387" i="2"/>
  <c r="BF264" i="2"/>
  <c r="BF274" i="2"/>
  <c r="BF309" i="2"/>
  <c r="BF310" i="2" s="1"/>
  <c r="AZ93" i="5"/>
  <c r="BG111" i="5"/>
  <c r="BF275" i="2" l="1"/>
  <c r="BF276" i="2"/>
  <c r="BF277" i="2" s="1"/>
  <c r="BF279" i="2"/>
  <c r="BE48" i="5"/>
  <c r="BE128" i="5" s="1"/>
  <c r="BE323" i="2"/>
  <c r="BE57" i="5" s="1"/>
  <c r="BF32" i="5"/>
  <c r="BF320" i="2"/>
  <c r="BF390" i="2"/>
  <c r="BE397" i="2"/>
  <c r="BE328" i="2"/>
  <c r="BE58" i="5" s="1"/>
  <c r="AZ106" i="5"/>
  <c r="BE126" i="5"/>
  <c r="AZ86" i="5"/>
  <c r="AZ64" i="5"/>
  <c r="AZ75" i="5"/>
  <c r="AZ114" i="5"/>
  <c r="BG693" i="2"/>
  <c r="BG706" i="2"/>
  <c r="BG698" i="2"/>
  <c r="BF701" i="2"/>
  <c r="BG388" i="2"/>
  <c r="BG269" i="2"/>
  <c r="BG387" i="2"/>
  <c r="BG264" i="2"/>
  <c r="BG274" i="2"/>
  <c r="BF33" i="5"/>
  <c r="BF55" i="5" s="1"/>
  <c r="BF321" i="2"/>
  <c r="AZ667" i="2"/>
  <c r="AZ715" i="2"/>
  <c r="BG33" i="5" l="1"/>
  <c r="BG55" i="5" s="1"/>
  <c r="BG321" i="2"/>
  <c r="BG699" i="2"/>
  <c r="BG707" i="2"/>
  <c r="BE47" i="5"/>
  <c r="BE329" i="2"/>
  <c r="BF103" i="5"/>
  <c r="BF104" i="5" s="1"/>
  <c r="BF396" i="2"/>
  <c r="BF391" i="2"/>
  <c r="BF322" i="2"/>
  <c r="BF56" i="5" s="1"/>
  <c r="AZ452" i="2"/>
  <c r="AZ725" i="2"/>
  <c r="AZ749" i="2" s="1"/>
  <c r="BG294" i="2"/>
  <c r="BG740" i="2"/>
  <c r="BF54" i="5"/>
  <c r="BF35" i="5"/>
  <c r="AZ115" i="5"/>
  <c r="AZ76" i="5"/>
  <c r="AZ78" i="5" s="1"/>
  <c r="AZ66" i="5"/>
  <c r="AZ73" i="5" s="1"/>
  <c r="AZ131" i="5" s="1"/>
  <c r="BG797" i="2"/>
  <c r="BG275" i="2"/>
  <c r="BG279" i="2"/>
  <c r="BG276" i="2"/>
  <c r="BG277" i="2" s="1"/>
  <c r="BF281" i="2"/>
  <c r="BF283" i="2"/>
  <c r="BF285" i="2" s="1"/>
  <c r="BA666" i="2"/>
  <c r="AZ672" i="2"/>
  <c r="BG32" i="5"/>
  <c r="BG320" i="2"/>
  <c r="BG390" i="2"/>
  <c r="BF797" i="2"/>
  <c r="BF48" i="5" l="1"/>
  <c r="BF128" i="5" s="1"/>
  <c r="BF323" i="2"/>
  <c r="BF57" i="5" s="1"/>
  <c r="BG103" i="5"/>
  <c r="BG104" i="5" s="1"/>
  <c r="BG391" i="2"/>
  <c r="BG322" i="2"/>
  <c r="BG56" i="5" s="1"/>
  <c r="A391" i="2"/>
  <c r="BF397" i="2"/>
  <c r="BF328" i="2"/>
  <c r="BF58" i="5" s="1"/>
  <c r="BF126" i="5"/>
  <c r="BG54" i="5"/>
  <c r="BG35" i="5"/>
  <c r="BG696" i="2"/>
  <c r="BG695" i="2" s="1"/>
  <c r="BE127" i="5"/>
  <c r="BE85" i="5"/>
  <c r="BE59" i="5"/>
  <c r="BE112" i="5"/>
  <c r="BG298" i="2"/>
  <c r="BG394" i="2" s="1"/>
  <c r="AZ96" i="5"/>
  <c r="AZ97" i="5" s="1"/>
  <c r="AZ790" i="2"/>
  <c r="BG295" i="2"/>
  <c r="BG743" i="2"/>
  <c r="BG702" i="2" s="1"/>
  <c r="BG701" i="2" s="1"/>
  <c r="BG281" i="2"/>
  <c r="BG283" i="2"/>
  <c r="BG285" i="2" s="1"/>
  <c r="AZ795" i="2"/>
  <c r="AZ7" i="5"/>
  <c r="AZ10" i="5" s="1"/>
  <c r="AZ456" i="2"/>
  <c r="BA460" i="2"/>
  <c r="AZ107" i="5" l="1"/>
  <c r="AZ108" i="5" s="1"/>
  <c r="AZ98" i="5"/>
  <c r="BG709" i="2"/>
  <c r="BG585" i="2"/>
  <c r="BG326" i="2"/>
  <c r="BG309" i="2"/>
  <c r="BG310" i="2" s="1"/>
  <c r="BF47" i="5"/>
  <c r="BF329" i="2"/>
  <c r="A48" i="5"/>
  <c r="A832" i="2"/>
  <c r="A323" i="2"/>
  <c r="A57" i="5" s="1"/>
  <c r="AZ84" i="5"/>
  <c r="AZ82" i="5"/>
  <c r="AZ99" i="5"/>
  <c r="AZ100" i="5" s="1"/>
  <c r="AZ101" i="5" s="1"/>
  <c r="AZ102" i="5" s="1"/>
  <c r="AZ83" i="5"/>
  <c r="AZ472" i="2"/>
  <c r="BG48" i="5"/>
  <c r="BG128" i="5" s="1"/>
  <c r="BG323" i="2"/>
  <c r="BG57" i="5" s="1"/>
  <c r="BG748" i="2"/>
  <c r="BG396" i="2"/>
  <c r="BG126" i="5"/>
  <c r="BA401" i="2"/>
  <c r="BA462" i="2"/>
  <c r="BG397" i="2" l="1"/>
  <c r="BG328" i="2"/>
  <c r="BG58" i="5" s="1"/>
  <c r="A397" i="2"/>
  <c r="BA36" i="5"/>
  <c r="BA38" i="5" s="1"/>
  <c r="BA404" i="2"/>
  <c r="BF127" i="5"/>
  <c r="BF85" i="5"/>
  <c r="BF59" i="5"/>
  <c r="BF112" i="5"/>
  <c r="BA463" i="2"/>
  <c r="BA465" i="2"/>
  <c r="BA407" i="2" l="1"/>
  <c r="BA406" i="2"/>
  <c r="BA408" i="2"/>
  <c r="BA412" i="2" s="1"/>
  <c r="A47" i="5"/>
  <c r="A831" i="2"/>
  <c r="A398" i="2"/>
  <c r="A329" i="2"/>
  <c r="A59" i="5" s="1"/>
  <c r="BG47" i="5"/>
  <c r="BG329" i="2"/>
  <c r="BG127" i="5" l="1"/>
  <c r="BG85" i="5"/>
  <c r="BG59" i="5"/>
  <c r="BG112" i="5"/>
  <c r="A843" i="2"/>
  <c r="BC398" i="2"/>
  <c r="BC330" i="2" s="1"/>
  <c r="BB398" i="2"/>
  <c r="BB330" i="2" s="1"/>
  <c r="AX398" i="2"/>
  <c r="AX330" i="2" s="1"/>
  <c r="BD398" i="2"/>
  <c r="BD330" i="2" s="1"/>
  <c r="AY398" i="2"/>
  <c r="AY330" i="2" s="1"/>
  <c r="BF398" i="2"/>
  <c r="BF330" i="2" s="1"/>
  <c r="BG398" i="2"/>
  <c r="BG330" i="2" s="1"/>
  <c r="AZ398" i="2"/>
  <c r="AZ330" i="2" s="1"/>
  <c r="BE398" i="2"/>
  <c r="BE330" i="2" s="1"/>
  <c r="BA398" i="2"/>
  <c r="BA330" i="2" s="1"/>
  <c r="BA414" i="2"/>
  <c r="BA423" i="2" s="1"/>
  <c r="BA422" i="2"/>
  <c r="BA417" i="2"/>
  <c r="BA584" i="2"/>
  <c r="BA785" i="2" s="1"/>
  <c r="BA39" i="5"/>
  <c r="BA43" i="5" s="1"/>
  <c r="BA598" i="2"/>
  <c r="BA600" i="2" l="1"/>
  <c r="BA760" i="2"/>
  <c r="BA786" i="2"/>
  <c r="AX425" i="2"/>
  <c r="AX434" i="2"/>
  <c r="BF434" i="2"/>
  <c r="BB392" i="2"/>
  <c r="BB425" i="2"/>
  <c r="BB436" i="2"/>
  <c r="BB434" i="2"/>
  <c r="AZ425" i="2"/>
  <c r="AZ436" i="2"/>
  <c r="AY436" i="2"/>
  <c r="BG425" i="2"/>
  <c r="BC425" i="2"/>
  <c r="BE434" i="2"/>
  <c r="AZ392" i="2"/>
  <c r="AY425" i="2"/>
  <c r="BE392" i="2"/>
  <c r="BD392" i="2"/>
  <c r="BC392" i="2"/>
  <c r="BA392" i="2"/>
  <c r="BC436" i="2"/>
  <c r="BG434" i="2"/>
  <c r="BE436" i="2"/>
  <c r="BG392" i="2"/>
  <c r="BF392" i="2"/>
  <c r="BA436" i="2"/>
  <c r="AY392" i="2"/>
  <c r="BF425" i="2"/>
  <c r="BC434" i="2"/>
  <c r="BD434" i="2"/>
  <c r="AY434" i="2"/>
  <c r="BA434" i="2"/>
  <c r="BG436" i="2"/>
  <c r="BA425" i="2"/>
  <c r="BD436" i="2"/>
  <c r="BF436" i="2"/>
  <c r="AX436" i="2"/>
  <c r="BE425" i="2"/>
  <c r="AX392" i="2"/>
  <c r="AZ434" i="2"/>
  <c r="BD425" i="2"/>
  <c r="BA130" i="5"/>
  <c r="BA94" i="5"/>
  <c r="BA95" i="5" s="1"/>
  <c r="BA44" i="5"/>
  <c r="BA49" i="5"/>
  <c r="BA424" i="2"/>
  <c r="BA50" i="5" s="1"/>
  <c r="BA79" i="5" s="1"/>
  <c r="BA280" i="2" l="1"/>
  <c r="BA324" i="2"/>
  <c r="BA284" i="2" s="1"/>
  <c r="BA129" i="5"/>
  <c r="BA113" i="5"/>
  <c r="BA89" i="5"/>
  <c r="BA90" i="5" s="1"/>
  <c r="BC324" i="2"/>
  <c r="BC284" i="2" s="1"/>
  <c r="BC280" i="2"/>
  <c r="BD280" i="2"/>
  <c r="BD324" i="2"/>
  <c r="BD284" i="2" s="1"/>
  <c r="BE324" i="2"/>
  <c r="BE284" i="2" s="1"/>
  <c r="BE280" i="2"/>
  <c r="BB280" i="2"/>
  <c r="BB324" i="2"/>
  <c r="BB284" i="2" s="1"/>
  <c r="AX280" i="2"/>
  <c r="AX324" i="2"/>
  <c r="AX284" i="2" s="1"/>
  <c r="AY324" i="2"/>
  <c r="AY284" i="2" s="1"/>
  <c r="AY280" i="2"/>
  <c r="AZ324" i="2"/>
  <c r="AZ284" i="2" s="1"/>
  <c r="AZ280" i="2"/>
  <c r="BF280" i="2"/>
  <c r="BF324" i="2"/>
  <c r="BF284" i="2" s="1"/>
  <c r="BG324" i="2"/>
  <c r="BG284" i="2" s="1"/>
  <c r="BG280" i="2"/>
  <c r="BA91" i="5"/>
  <c r="BA92" i="5" s="1"/>
  <c r="BA93" i="5" s="1"/>
  <c r="BA763" i="2"/>
  <c r="BA432" i="2"/>
  <c r="BA616" i="2"/>
  <c r="BA69" i="5" l="1"/>
  <c r="BA664" i="2"/>
  <c r="BA62" i="5"/>
  <c r="BA446" i="2"/>
  <c r="BA447" i="2" s="1"/>
  <c r="BA448" i="2" s="1"/>
  <c r="BA449" i="2" s="1"/>
  <c r="BA433" i="2"/>
  <c r="BA105" i="5"/>
  <c r="BA106" i="5" s="1"/>
  <c r="BA778" i="2"/>
  <c r="BA788" i="2" s="1"/>
  <c r="BA86" i="5" l="1"/>
  <c r="BA64" i="5"/>
  <c r="BA75" i="5"/>
  <c r="BA114" i="5"/>
  <c r="BA715" i="2"/>
  <c r="BA667" i="2"/>
  <c r="BB666" i="2" l="1"/>
  <c r="BA672" i="2"/>
  <c r="BA452" i="2"/>
  <c r="BA725" i="2"/>
  <c r="BA749" i="2" s="1"/>
  <c r="BA76" i="5"/>
  <c r="BA78" i="5" s="1"/>
  <c r="BA115" i="5"/>
  <c r="BA66" i="5"/>
  <c r="BA73" i="5" s="1"/>
  <c r="BA131" i="5" s="1"/>
  <c r="BA96" i="5" l="1"/>
  <c r="BA97" i="5" s="1"/>
  <c r="BA790" i="2"/>
  <c r="BA795" i="2"/>
  <c r="BA7" i="5"/>
  <c r="BA10" i="5" s="1"/>
  <c r="BA456" i="2"/>
  <c r="BB460" i="2"/>
  <c r="BB401" i="2" l="1"/>
  <c r="BB462" i="2"/>
  <c r="BA82" i="5"/>
  <c r="BA99" i="5"/>
  <c r="BA100" i="5" s="1"/>
  <c r="BA101" i="5" s="1"/>
  <c r="BA102" i="5" s="1"/>
  <c r="BA83" i="5"/>
  <c r="BA472" i="2"/>
  <c r="BA84" i="5"/>
  <c r="BA107" i="5"/>
  <c r="BA108" i="5" s="1"/>
  <c r="BA98" i="5"/>
  <c r="BB463" i="2" l="1"/>
  <c r="BB465" i="2"/>
  <c r="BB36" i="5"/>
  <c r="BB38" i="5" s="1"/>
  <c r="BB404" i="2"/>
  <c r="BB407" i="2" l="1"/>
  <c r="BB406" i="2"/>
  <c r="BB408" i="2"/>
  <c r="BB412" i="2" s="1"/>
  <c r="BB417" i="2" l="1"/>
  <c r="BB422" i="2"/>
  <c r="BB584" i="2"/>
  <c r="BB785" i="2" s="1"/>
  <c r="BB414" i="2"/>
  <c r="BB423" i="2" s="1"/>
  <c r="BB39" i="5"/>
  <c r="BB43" i="5" s="1"/>
  <c r="BB598" i="2"/>
  <c r="BB130" i="5" l="1"/>
  <c r="BB94" i="5"/>
  <c r="BB95" i="5" s="1"/>
  <c r="BB44" i="5"/>
  <c r="BB786" i="2"/>
  <c r="BB600" i="2"/>
  <c r="BB760" i="2"/>
  <c r="BB424" i="2"/>
  <c r="BB50" i="5" s="1"/>
  <c r="BB79" i="5" s="1"/>
  <c r="BB49" i="5"/>
  <c r="BB763" i="2" l="1"/>
  <c r="BB432" i="2"/>
  <c r="BB616" i="2"/>
  <c r="BB91" i="5"/>
  <c r="BB92" i="5" s="1"/>
  <c r="BB129" i="5"/>
  <c r="BB113" i="5"/>
  <c r="BB89" i="5"/>
  <c r="BB90" i="5" s="1"/>
  <c r="BB62" i="5" l="1"/>
  <c r="BB446" i="2"/>
  <c r="BB447" i="2" s="1"/>
  <c r="BB448" i="2" s="1"/>
  <c r="BB449" i="2" s="1"/>
  <c r="BB433" i="2"/>
  <c r="BB93" i="5"/>
  <c r="BB105" i="5"/>
  <c r="BB106" i="5" s="1"/>
  <c r="BB778" i="2"/>
  <c r="BB788" i="2" s="1"/>
  <c r="BB69" i="5"/>
  <c r="BB664" i="2"/>
  <c r="BB715" i="2" l="1"/>
  <c r="BB667" i="2"/>
  <c r="BB86" i="5"/>
  <c r="BB64" i="5"/>
  <c r="BB114" i="5"/>
  <c r="BB75" i="5"/>
  <c r="BB115" i="5" l="1"/>
  <c r="BB76" i="5"/>
  <c r="BB78" i="5" s="1"/>
  <c r="BB66" i="5"/>
  <c r="BB73" i="5" s="1"/>
  <c r="BB131" i="5" s="1"/>
  <c r="BC666" i="2"/>
  <c r="BB672" i="2"/>
  <c r="BB452" i="2"/>
  <c r="BB725" i="2"/>
  <c r="BB749" i="2" s="1"/>
  <c r="BB96" i="5" l="1"/>
  <c r="BB97" i="5" s="1"/>
  <c r="BB790" i="2"/>
  <c r="BB795" i="2"/>
  <c r="BB7" i="5"/>
  <c r="BB10" i="5" s="1"/>
  <c r="BB456" i="2"/>
  <c r="BC460" i="2"/>
  <c r="BC401" i="2" l="1"/>
  <c r="BC462" i="2"/>
  <c r="BD460" i="2"/>
  <c r="BB82" i="5"/>
  <c r="BB99" i="5"/>
  <c r="BB100" i="5" s="1"/>
  <c r="BB101" i="5" s="1"/>
  <c r="BB102" i="5" s="1"/>
  <c r="BB472" i="2"/>
  <c r="BB83" i="5"/>
  <c r="BB84" i="5"/>
  <c r="BB98" i="5"/>
  <c r="BB107" i="5"/>
  <c r="BB108" i="5" s="1"/>
  <c r="BC463" i="2" l="1"/>
  <c r="BC465" i="2"/>
  <c r="BD462" i="2"/>
  <c r="BC36" i="5"/>
  <c r="BC38" i="5" s="1"/>
  <c r="BC404" i="2"/>
  <c r="BD401" i="2"/>
  <c r="BD36" i="5" l="1"/>
  <c r="BD38" i="5" s="1"/>
  <c r="BD404" i="2"/>
  <c r="BC406" i="2"/>
  <c r="BC407" i="2"/>
  <c r="BC408" i="2"/>
  <c r="BC412" i="2" s="1"/>
  <c r="BD463" i="2"/>
  <c r="BD465" i="2"/>
  <c r="BC584" i="2" l="1"/>
  <c r="BC422" i="2"/>
  <c r="BC414" i="2"/>
  <c r="BC423" i="2" s="1"/>
  <c r="BC417" i="2"/>
  <c r="BC598" i="2"/>
  <c r="BD407" i="2"/>
  <c r="BD420" i="2" s="1"/>
  <c r="BC39" i="5"/>
  <c r="BC43" i="5" s="1"/>
  <c r="BD406" i="2"/>
  <c r="BD408" i="2"/>
  <c r="BC44" i="5" l="1"/>
  <c r="BC94" i="5"/>
  <c r="BC95" i="5" s="1"/>
  <c r="BC130" i="5"/>
  <c r="BD808" i="2"/>
  <c r="BD412" i="2"/>
  <c r="BD598" i="2"/>
  <c r="BD600" i="2" s="1"/>
  <c r="BC600" i="2"/>
  <c r="BC760" i="2"/>
  <c r="BC424" i="2"/>
  <c r="BC50" i="5" s="1"/>
  <c r="BC79" i="5" s="1"/>
  <c r="BC49" i="5"/>
  <c r="BD39" i="5"/>
  <c r="BD43" i="5" s="1"/>
  <c r="BD419" i="2"/>
  <c r="BD584" i="2"/>
  <c r="BC785" i="2"/>
  <c r="BD760" i="2" l="1"/>
  <c r="BC763" i="2"/>
  <c r="BC129" i="5"/>
  <c r="BC89" i="5"/>
  <c r="BC90" i="5" s="1"/>
  <c r="BC113" i="5"/>
  <c r="BC432" i="2"/>
  <c r="BC616" i="2"/>
  <c r="BD432" i="2"/>
  <c r="BD616" i="2"/>
  <c r="BD417" i="2"/>
  <c r="BD422" i="2"/>
  <c r="BD414" i="2"/>
  <c r="BD423" i="2" s="1"/>
  <c r="BD130" i="5"/>
  <c r="BD94" i="5"/>
  <c r="BD95" i="5" s="1"/>
  <c r="BD44" i="5"/>
  <c r="BC786" i="2"/>
  <c r="BD785" i="2"/>
  <c r="BD810" i="2"/>
  <c r="BD69" i="5" l="1"/>
  <c r="BD664" i="2"/>
  <c r="BD667" i="2" s="1"/>
  <c r="BD62" i="5"/>
  <c r="BD446" i="2"/>
  <c r="BD433" i="2"/>
  <c r="BD477" i="2" s="1"/>
  <c r="BC69" i="5"/>
  <c r="BC664" i="2"/>
  <c r="BD811" i="2"/>
  <c r="BD786" i="2"/>
  <c r="BC62" i="5"/>
  <c r="BC446" i="2"/>
  <c r="BC447" i="2" s="1"/>
  <c r="BC448" i="2" s="1"/>
  <c r="BC449" i="2" s="1"/>
  <c r="BC433" i="2"/>
  <c r="BD809" i="2"/>
  <c r="BD49" i="5"/>
  <c r="BD424" i="2"/>
  <c r="BC91" i="5"/>
  <c r="BC92" i="5" s="1"/>
  <c r="BC93" i="5" s="1"/>
  <c r="BC105" i="5"/>
  <c r="BC106" i="5" s="1"/>
  <c r="BC778" i="2"/>
  <c r="BC788" i="2" s="1"/>
  <c r="BD763" i="2"/>
  <c r="BC64" i="5" l="1"/>
  <c r="BC86" i="5"/>
  <c r="BC75" i="5"/>
  <c r="BC114" i="5"/>
  <c r="BD91" i="5"/>
  <c r="BD92" i="5" s="1"/>
  <c r="BC715" i="2"/>
  <c r="BC667" i="2"/>
  <c r="BC672" i="2" s="1"/>
  <c r="BD105" i="5"/>
  <c r="BD106" i="5" s="1"/>
  <c r="BD778" i="2"/>
  <c r="BD788" i="2" s="1"/>
  <c r="BD50" i="5"/>
  <c r="BD474" i="2"/>
  <c r="BD447" i="2"/>
  <c r="BD448" i="2" s="1"/>
  <c r="BD449" i="2" s="1"/>
  <c r="BD478" i="2"/>
  <c r="BD129" i="5"/>
  <c r="BD113" i="5"/>
  <c r="BD89" i="5"/>
  <c r="BD90" i="5" s="1"/>
  <c r="BD86" i="5"/>
  <c r="BD64" i="5"/>
  <c r="BD75" i="5"/>
  <c r="BD121" i="5" s="1"/>
  <c r="BD114" i="5"/>
  <c r="BE666" i="2"/>
  <c r="BD79" i="5" l="1"/>
  <c r="BD118" i="5"/>
  <c r="BD66" i="5"/>
  <c r="BD73" i="5" s="1"/>
  <c r="BD131" i="5" s="1"/>
  <c r="BD115" i="5"/>
  <c r="BD76" i="5"/>
  <c r="BD78" i="5" s="1"/>
  <c r="BD122" i="5"/>
  <c r="BC452" i="2"/>
  <c r="BD715" i="2"/>
  <c r="BC725" i="2"/>
  <c r="BC749" i="2" s="1"/>
  <c r="BD93" i="5"/>
  <c r="BC115" i="5"/>
  <c r="BC76" i="5"/>
  <c r="BC78" i="5" s="1"/>
  <c r="BC66" i="5"/>
  <c r="BC73" i="5" s="1"/>
  <c r="BC131" i="5" s="1"/>
  <c r="BC96" i="5" l="1"/>
  <c r="BC97" i="5" s="1"/>
  <c r="BC790" i="2"/>
  <c r="BD452" i="2"/>
  <c r="BD725" i="2"/>
  <c r="BD749" i="2" s="1"/>
  <c r="BD672" i="2"/>
  <c r="BC795" i="2"/>
  <c r="BC456" i="2"/>
  <c r="BC7" i="5"/>
  <c r="BC10" i="5" s="1"/>
  <c r="BD461" i="2"/>
  <c r="BC472" i="2" l="1"/>
  <c r="BC82" i="5"/>
  <c r="BC99" i="5"/>
  <c r="BC100" i="5" s="1"/>
  <c r="BC101" i="5" s="1"/>
  <c r="BC102" i="5" s="1"/>
  <c r="BC83" i="5"/>
  <c r="BC84" i="5"/>
  <c r="BD96" i="5"/>
  <c r="BD97" i="5" s="1"/>
  <c r="BD790" i="2"/>
  <c r="BD795" i="2"/>
  <c r="BD7" i="5"/>
  <c r="BD10" i="5" s="1"/>
  <c r="BD456" i="2"/>
  <c r="BE460" i="2"/>
  <c r="BC107" i="5"/>
  <c r="BC108" i="5" s="1"/>
  <c r="BC98" i="5"/>
  <c r="BE401" i="2" l="1"/>
  <c r="BE462" i="2"/>
  <c r="BD99" i="5"/>
  <c r="BD100" i="5" s="1"/>
  <c r="BD101" i="5" s="1"/>
  <c r="BD102" i="5" s="1"/>
  <c r="BD83" i="5"/>
  <c r="BD472" i="2"/>
  <c r="BD466" i="2"/>
  <c r="BD82" i="5"/>
  <c r="BD467" i="2"/>
  <c r="BD84" i="5"/>
  <c r="BD120" i="5"/>
  <c r="BD119" i="5"/>
  <c r="BD123" i="5"/>
  <c r="BD107" i="5"/>
  <c r="BD108" i="5" s="1"/>
  <c r="BD98" i="5"/>
  <c r="BD476" i="2" l="1"/>
  <c r="BD475" i="2"/>
  <c r="BD479" i="2"/>
  <c r="BE463" i="2"/>
  <c r="BE465" i="2"/>
  <c r="BE36" i="5"/>
  <c r="BE38" i="5" s="1"/>
  <c r="BE404" i="2"/>
  <c r="BE406" i="2" l="1"/>
  <c r="BE39" i="5" s="1"/>
  <c r="BE43" i="5" s="1"/>
  <c r="BE407" i="2"/>
  <c r="BE598" i="2" s="1"/>
  <c r="BE408" i="2"/>
  <c r="BE412" i="2" s="1"/>
  <c r="BE130" i="5" l="1"/>
  <c r="BE584" i="2"/>
  <c r="BE785" i="2" s="1"/>
  <c r="BE414" i="2"/>
  <c r="BE423" i="2" s="1"/>
  <c r="BE417" i="2"/>
  <c r="BE422" i="2"/>
  <c r="BE600" i="2"/>
  <c r="BE760" i="2"/>
  <c r="BE94" i="5"/>
  <c r="BE95" i="5" s="1"/>
  <c r="BE44" i="5"/>
  <c r="BE432" i="2" l="1"/>
  <c r="BE616" i="2"/>
  <c r="BE763" i="2"/>
  <c r="BE49" i="5"/>
  <c r="BE424" i="2"/>
  <c r="BE786" i="2"/>
  <c r="BE113" i="5" l="1"/>
  <c r="BE89" i="5"/>
  <c r="BE90" i="5" s="1"/>
  <c r="BE129" i="5"/>
  <c r="BE91" i="5"/>
  <c r="BE92" i="5" s="1"/>
  <c r="BE93" i="5" s="1"/>
  <c r="BE50" i="5"/>
  <c r="BE474" i="2"/>
  <c r="BE105" i="5"/>
  <c r="BE106" i="5" s="1"/>
  <c r="BE778" i="2"/>
  <c r="BE788" i="2" s="1"/>
  <c r="BE69" i="5"/>
  <c r="BE664" i="2"/>
  <c r="BE62" i="5"/>
  <c r="BE446" i="2"/>
  <c r="BE433" i="2"/>
  <c r="BE477" i="2" s="1"/>
  <c r="BE118" i="5" l="1"/>
  <c r="BE79" i="5"/>
  <c r="BE86" i="5"/>
  <c r="BE64" i="5"/>
  <c r="BE75" i="5"/>
  <c r="BE121" i="5" s="1"/>
  <c r="BE114" i="5"/>
  <c r="BE667" i="2"/>
  <c r="BE715" i="2"/>
  <c r="BE447" i="2"/>
  <c r="BE448" i="2" s="1"/>
  <c r="BE449" i="2" s="1"/>
  <c r="BE478" i="2"/>
  <c r="BF666" i="2" l="1"/>
  <c r="BE672" i="2"/>
  <c r="BE115" i="5"/>
  <c r="BE76" i="5"/>
  <c r="BE78" i="5" s="1"/>
  <c r="BE122" i="5"/>
  <c r="BE66" i="5"/>
  <c r="BE73" i="5" s="1"/>
  <c r="BE131" i="5" s="1"/>
  <c r="BE452" i="2"/>
  <c r="BE725" i="2"/>
  <c r="BE749" i="2" s="1"/>
  <c r="BE795" i="2" l="1"/>
  <c r="BE456" i="2"/>
  <c r="BF460" i="2"/>
  <c r="BE7" i="5"/>
  <c r="BE10" i="5" s="1"/>
  <c r="BE96" i="5"/>
  <c r="BE97" i="5" s="1"/>
  <c r="BE790" i="2"/>
  <c r="BE120" i="5" l="1"/>
  <c r="BE119" i="5"/>
  <c r="BE123" i="5"/>
  <c r="BF401" i="2"/>
  <c r="BF462" i="2"/>
  <c r="BE107" i="5"/>
  <c r="BE108" i="5" s="1"/>
  <c r="BE98" i="5"/>
  <c r="BE466" i="2"/>
  <c r="BE82" i="5"/>
  <c r="BE99" i="5"/>
  <c r="BE100" i="5" s="1"/>
  <c r="BE101" i="5" s="1"/>
  <c r="BE102" i="5" s="1"/>
  <c r="BE83" i="5"/>
  <c r="BE472" i="2"/>
  <c r="BE467" i="2"/>
  <c r="BE84" i="5"/>
  <c r="BF463" i="2" l="1"/>
  <c r="BF465" i="2"/>
  <c r="BE475" i="2"/>
  <c r="BE476" i="2"/>
  <c r="BE479" i="2"/>
  <c r="BF36" i="5"/>
  <c r="BF38" i="5" s="1"/>
  <c r="BF404" i="2"/>
  <c r="BF407" i="2" l="1"/>
  <c r="BF598" i="2" s="1"/>
  <c r="BF406" i="2"/>
  <c r="BF39" i="5" s="1"/>
  <c r="BF43" i="5" s="1"/>
  <c r="BF408" i="2"/>
  <c r="BF412" i="2" s="1"/>
  <c r="BF584" i="2" l="1"/>
  <c r="BF785" i="2" s="1"/>
  <c r="BF414" i="2"/>
  <c r="BF423" i="2" s="1"/>
  <c r="BF417" i="2"/>
  <c r="BF422" i="2"/>
  <c r="BF130" i="5"/>
  <c r="BF94" i="5"/>
  <c r="BF95" i="5" s="1"/>
  <c r="BF44" i="5"/>
  <c r="BF600" i="2"/>
  <c r="BF760" i="2"/>
  <c r="BF763" i="2" l="1"/>
  <c r="BF432" i="2"/>
  <c r="BF616" i="2"/>
  <c r="BF49" i="5"/>
  <c r="BF424" i="2"/>
  <c r="BF786" i="2"/>
  <c r="BF89" i="5" l="1"/>
  <c r="BF90" i="5" s="1"/>
  <c r="BF129" i="5"/>
  <c r="BF113" i="5"/>
  <c r="BF50" i="5"/>
  <c r="BF474" i="2"/>
  <c r="BF69" i="5"/>
  <c r="BF664" i="2"/>
  <c r="BF788" i="2"/>
  <c r="BF91" i="5"/>
  <c r="BF92" i="5" s="1"/>
  <c r="BF93" i="5" s="1"/>
  <c r="BF62" i="5"/>
  <c r="BF446" i="2"/>
  <c r="BF433" i="2"/>
  <c r="BF477" i="2" s="1"/>
  <c r="BF105" i="5"/>
  <c r="BF106" i="5" s="1"/>
  <c r="BF778" i="2"/>
  <c r="BF447" i="2" l="1"/>
  <c r="BF448" i="2" s="1"/>
  <c r="BF449" i="2" s="1"/>
  <c r="BF478" i="2"/>
  <c r="BF667" i="2"/>
  <c r="BF715" i="2"/>
  <c r="BF79" i="5"/>
  <c r="BF118" i="5"/>
  <c r="BF86" i="5"/>
  <c r="BF64" i="5"/>
  <c r="BF114" i="5"/>
  <c r="BF75" i="5"/>
  <c r="BF121" i="5" s="1"/>
  <c r="BF115" i="5" l="1"/>
  <c r="BF76" i="5"/>
  <c r="BF78" i="5" s="1"/>
  <c r="BF122" i="5"/>
  <c r="BF66" i="5"/>
  <c r="BF73" i="5" s="1"/>
  <c r="BF131" i="5" s="1"/>
  <c r="BF452" i="2"/>
  <c r="BF725" i="2"/>
  <c r="BF749" i="2" s="1"/>
  <c r="BG666" i="2"/>
  <c r="BF672" i="2"/>
  <c r="BF96" i="5" l="1"/>
  <c r="BF97" i="5" s="1"/>
  <c r="BF790" i="2"/>
  <c r="BF795" i="2"/>
  <c r="BF456" i="2"/>
  <c r="BF7" i="5"/>
  <c r="BF10" i="5" s="1"/>
  <c r="BG460" i="2"/>
  <c r="BF119" i="5" l="1"/>
  <c r="BF120" i="5"/>
  <c r="BF123" i="5"/>
  <c r="BF99" i="5"/>
  <c r="BF100" i="5" s="1"/>
  <c r="BF101" i="5" s="1"/>
  <c r="BF102" i="5" s="1"/>
  <c r="BF82" i="5"/>
  <c r="BF83" i="5"/>
  <c r="BF472" i="2"/>
  <c r="BF467" i="2"/>
  <c r="BF466" i="2"/>
  <c r="BF84" i="5"/>
  <c r="BF107" i="5"/>
  <c r="BF108" i="5" s="1"/>
  <c r="BF98" i="5"/>
  <c r="BG462" i="2"/>
  <c r="BG401" i="2"/>
  <c r="BF475" i="2" l="1"/>
  <c r="BF476" i="2"/>
  <c r="BF479" i="2"/>
  <c r="BG36" i="5"/>
  <c r="BG38" i="5" s="1"/>
  <c r="BG404" i="2"/>
  <c r="BG463" i="2"/>
  <c r="BG465" i="2"/>
  <c r="BG406" i="2" l="1"/>
  <c r="BG39" i="5" s="1"/>
  <c r="BG43" i="5" s="1"/>
  <c r="BG407" i="2"/>
  <c r="BG598" i="2" s="1"/>
  <c r="BG408" i="2"/>
  <c r="BG412" i="2" s="1"/>
  <c r="BG414" i="2" l="1"/>
  <c r="BG423" i="2" s="1"/>
  <c r="BG417" i="2"/>
  <c r="BG422" i="2"/>
  <c r="BG584" i="2"/>
  <c r="BG785" i="2" s="1"/>
  <c r="BG786" i="2" s="1"/>
  <c r="BG600" i="2"/>
  <c r="BG760" i="2"/>
  <c r="BG763" i="2" s="1"/>
  <c r="BG94" i="5"/>
  <c r="BG95" i="5" s="1"/>
  <c r="BG130" i="5"/>
  <c r="BG44" i="5"/>
  <c r="BG105" i="5" l="1"/>
  <c r="BG106" i="5" s="1"/>
  <c r="BG778" i="2"/>
  <c r="BG432" i="2"/>
  <c r="BG616" i="2"/>
  <c r="BG788" i="2"/>
  <c r="BG91" i="5"/>
  <c r="BG92" i="5" s="1"/>
  <c r="BG49" i="5"/>
  <c r="BG424" i="2"/>
  <c r="BG89" i="5" l="1"/>
  <c r="BG90" i="5" s="1"/>
  <c r="BG129" i="5"/>
  <c r="BG113" i="5"/>
  <c r="BG93" i="5"/>
  <c r="BG50" i="5"/>
  <c r="BG474" i="2"/>
  <c r="BG69" i="5"/>
  <c r="BG664" i="2"/>
  <c r="BG62" i="5"/>
  <c r="BG446" i="2"/>
  <c r="BG433" i="2"/>
  <c r="BG477" i="2" s="1"/>
  <c r="BG86" i="5" l="1"/>
  <c r="BG64" i="5"/>
  <c r="BG75" i="5"/>
  <c r="BG121" i="5" s="1"/>
  <c r="BG114" i="5"/>
  <c r="BG715" i="2"/>
  <c r="BG667" i="2"/>
  <c r="BG672" i="2" s="1"/>
  <c r="BG79" i="5"/>
  <c r="BG118" i="5"/>
  <c r="BG447" i="2"/>
  <c r="BG448" i="2" s="1"/>
  <c r="BG449" i="2" s="1"/>
  <c r="BG478" i="2"/>
  <c r="BG452" i="2" l="1"/>
  <c r="BG725" i="2"/>
  <c r="BG749" i="2" s="1"/>
  <c r="BG76" i="5"/>
  <c r="BG78" i="5" s="1"/>
  <c r="BG115" i="5"/>
  <c r="BG122" i="5"/>
  <c r="BG66" i="5"/>
  <c r="BG73" i="5" s="1"/>
  <c r="BG131" i="5" s="1"/>
  <c r="BG96" i="5" l="1"/>
  <c r="BG97" i="5" s="1"/>
  <c r="BG790" i="2"/>
  <c r="BG795" i="2"/>
  <c r="BG7" i="5"/>
  <c r="BG10" i="5" s="1"/>
  <c r="BG456" i="2"/>
  <c r="BG119" i="5" l="1"/>
  <c r="BG120" i="5"/>
  <c r="BG123" i="5"/>
  <c r="BG83" i="5"/>
  <c r="BG99" i="5"/>
  <c r="BG100" i="5" s="1"/>
  <c r="BG101" i="5" s="1"/>
  <c r="BG102" i="5" s="1"/>
  <c r="BG82" i="5"/>
  <c r="BG467" i="2"/>
  <c r="BG466" i="2"/>
  <c r="BG472" i="2"/>
  <c r="BG84" i="5"/>
  <c r="BG107" i="5"/>
  <c r="BG108" i="5" s="1"/>
  <c r="BG98" i="5"/>
  <c r="BG475" i="2" l="1"/>
  <c r="BG476" i="2"/>
  <c r="BG47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Canalyst (JH)</author>
    <author>Canalyst (KK)</author>
    <author>Canalyst (RZ)</author>
    <author>Canalyst (LX)</author>
    <author>Canalyst (JK)</author>
    <author>Canalyst (BI)</author>
    <author>Canalyst (DC)</author>
    <author>Canalyst (AZ)</author>
    <author>Canalyst (JP)</author>
    <author>Canalyst (ML)</author>
    <author>Canalyst (TK)</author>
    <author>Canalyst (EM)</author>
    <author>Canalyst (AlD)</author>
  </authors>
  <commentList>
    <comment ref="Y5" authorId="0" shapeId="0" xr:uid="{00000000-0006-0000-0100-000001000000}">
      <text>
        <r>
          <rPr>
            <b/>
            <sz val="9"/>
            <rFont val="Tahoma"/>
            <family val="2"/>
          </rPr>
          <t>Canalyst (JH):</t>
        </r>
        <r>
          <rPr>
            <sz val="9"/>
            <rFont val="Tahoma"/>
            <family val="2"/>
          </rPr>
          <t xml:space="preserve">
first quarter reflecting Solar City merger</t>
        </r>
      </text>
    </comment>
    <comment ref="D17" authorId="1" shapeId="0" xr:uid="{4FD93C91-16FA-4375-B4C6-1A893C880A1C}">
      <text>
        <r>
          <rPr>
            <b/>
            <sz val="9"/>
            <rFont val="Tahoma"/>
            <family val="2"/>
          </rPr>
          <t>Canalyst (KK):</t>
        </r>
        <r>
          <rPr>
            <sz val="9"/>
            <rFont val="Tahoma"/>
            <family val="2"/>
          </rPr>
          <t xml:space="preserve">
This is a cumulative number hence not comparable </t>
        </r>
      </text>
    </comment>
    <comment ref="A26" authorId="2" shapeId="0" xr:uid="{708D290D-9CFF-4D99-81CE-C30BF4A9218E}">
      <text>
        <r>
          <rPr>
            <b/>
            <sz val="9"/>
            <rFont val="Tahoma"/>
            <family val="2"/>
          </rPr>
          <t>Canalyst (RZ):</t>
        </r>
        <r>
          <rPr>
            <sz val="9"/>
            <rFont val="Tahoma"/>
            <family val="2"/>
          </rPr>
          <t xml:space="preserve">
Calculated based on deliveries not subject to operating lease as per company's definition</t>
        </r>
      </text>
    </comment>
    <comment ref="AF26" authorId="2" shapeId="0" xr:uid="{4D80BD5E-1D6E-4BB8-BAF6-1DEFB49EE038}">
      <text>
        <r>
          <rPr>
            <b/>
            <sz val="9"/>
            <rFont val="Tahoma"/>
            <family val="2"/>
          </rPr>
          <t>Canalyst (RZ):</t>
        </r>
        <r>
          <rPr>
            <sz val="9"/>
            <rFont val="Tahoma"/>
            <family val="2"/>
          </rPr>
          <t xml:space="preserve">
Starts to exclude regulatory credits and operating lease vehicles from this period onwards</t>
        </r>
      </text>
    </comment>
    <comment ref="A28" authorId="2" shapeId="0" xr:uid="{DC729A0F-1906-4FB0-B194-8EF0F226494B}">
      <text>
        <r>
          <rPr>
            <b/>
            <sz val="9"/>
            <rFont val="Tahoma"/>
            <family val="2"/>
          </rPr>
          <t>Canalyst (RZ):</t>
        </r>
        <r>
          <rPr>
            <sz val="9"/>
            <rFont val="Tahoma"/>
            <family val="2"/>
          </rPr>
          <t xml:space="preserve">
Reported in the text of "Summary" on Shareholder Deck; quoted as "ASP"</t>
        </r>
      </text>
    </comment>
    <comment ref="AF28" authorId="2" shapeId="0" xr:uid="{CBB94605-916F-4F71-BEB9-29E3CC6C23A0}">
      <text>
        <r>
          <rPr>
            <b/>
            <sz val="9"/>
            <rFont val="Tahoma"/>
            <family val="2"/>
          </rPr>
          <t>Canalyst (RZ):</t>
        </r>
        <r>
          <rPr>
            <sz val="9"/>
            <rFont val="Tahoma"/>
            <family val="2"/>
          </rPr>
          <t xml:space="preserve">
Not comparable to previous period as implied price per delivery starts to exclude operating lease vehicles and regulatory credits</t>
        </r>
      </text>
    </comment>
    <comment ref="AG28" authorId="2" shapeId="0" xr:uid="{20CB1AD9-C338-4738-B63B-4D146765D5B3}">
      <text>
        <r>
          <rPr>
            <b/>
            <sz val="9"/>
            <rFont val="Tahoma"/>
            <family val="2"/>
          </rPr>
          <t>Canalyst (RZ):</t>
        </r>
        <r>
          <rPr>
            <sz val="9"/>
            <rFont val="Tahoma"/>
            <family val="2"/>
          </rPr>
          <t xml:space="preserve">
Not comparable to previous period as implied price per delivery starts to exclude operating lease vehicles and regulatory credits</t>
        </r>
      </text>
    </comment>
    <comment ref="AH28" authorId="2" shapeId="0" xr:uid="{89F86406-F03A-4368-80BE-18D9F1F3C9DA}">
      <text>
        <r>
          <rPr>
            <b/>
            <sz val="9"/>
            <rFont val="Tahoma"/>
            <family val="2"/>
          </rPr>
          <t>Canalyst (RZ):</t>
        </r>
        <r>
          <rPr>
            <sz val="9"/>
            <rFont val="Tahoma"/>
            <family val="2"/>
          </rPr>
          <t xml:space="preserve">
Not comparable to previous period as implied price per delivery starts to exclude operating lease vehicles and regulatory credits</t>
        </r>
      </text>
    </comment>
    <comment ref="AI28" authorId="2" shapeId="0" xr:uid="{E8C40BE9-1FE8-4F95-880B-122AD7A2CF9B}">
      <text>
        <r>
          <rPr>
            <b/>
            <sz val="9"/>
            <rFont val="Tahoma"/>
            <family val="2"/>
          </rPr>
          <t>Canalyst (RZ):</t>
        </r>
        <r>
          <rPr>
            <sz val="9"/>
            <rFont val="Tahoma"/>
            <family val="2"/>
          </rPr>
          <t xml:space="preserve">
Not comparable to previous period as implied price per delivery starts to exclude operating lease vehicles and regulatory credits</t>
        </r>
      </text>
    </comment>
    <comment ref="AJ28" authorId="2" shapeId="0" xr:uid="{48C257E8-E026-4D3E-BBFC-9BDE0F3170AB}">
      <text>
        <r>
          <rPr>
            <b/>
            <sz val="9"/>
            <rFont val="Tahoma"/>
            <family val="2"/>
          </rPr>
          <t>Canalyst (RZ):</t>
        </r>
        <r>
          <rPr>
            <sz val="9"/>
            <rFont val="Tahoma"/>
            <family val="2"/>
          </rPr>
          <t xml:space="preserve">
Not comparable to previous period as implied price per delivery starts to exclude operating lease vehicles and regulatory credits</t>
        </r>
      </text>
    </comment>
    <comment ref="AW28" authorId="2" shapeId="0" xr:uid="{480E8F88-1039-47FA-8029-EAF60FB582FF}">
      <text>
        <r>
          <rPr>
            <b/>
            <sz val="9"/>
            <rFont val="Tahoma"/>
            <family val="2"/>
          </rPr>
          <t>Canalyst (RZ):</t>
        </r>
        <r>
          <rPr>
            <sz val="9"/>
            <rFont val="Tahoma"/>
            <family val="2"/>
          </rPr>
          <t xml:space="preserve">
reported as -6%</t>
        </r>
      </text>
    </comment>
    <comment ref="AZ28" authorId="3" shapeId="0" xr:uid="{43FCECB8-3D29-4F5C-9C86-74188314DA97}">
      <text>
        <r>
          <rPr>
            <b/>
            <sz val="9"/>
            <rFont val="Tahoma"/>
            <family val="2"/>
          </rPr>
          <t>Canalyst (RZ):</t>
        </r>
        <r>
          <rPr>
            <sz val="9"/>
            <rFont val="Tahoma"/>
            <family val="2"/>
          </rPr>
          <t xml:space="preserve">
Due to introduction of semi trucks.</t>
        </r>
      </text>
    </comment>
    <comment ref="BA28" authorId="3" shapeId="0" xr:uid="{8EBF4DC4-C17A-46D5-807B-528965FFEC0C}">
      <text>
        <r>
          <rPr>
            <b/>
            <sz val="9"/>
            <rFont val="Tahoma"/>
            <family val="2"/>
          </rPr>
          <t>Canalyst (RZ):</t>
        </r>
        <r>
          <rPr>
            <sz val="9"/>
            <rFont val="Tahoma"/>
            <family val="2"/>
          </rPr>
          <t xml:space="preserve">
Due to introduction of semi trucks.</t>
        </r>
      </text>
    </comment>
    <comment ref="BB28" authorId="3" shapeId="0" xr:uid="{8CE49231-1B70-4FEE-9B02-45122865D53B}">
      <text>
        <r>
          <rPr>
            <b/>
            <sz val="9"/>
            <rFont val="Tahoma"/>
            <family val="2"/>
          </rPr>
          <t>Canalyst (RZ):</t>
        </r>
        <r>
          <rPr>
            <sz val="9"/>
            <rFont val="Tahoma"/>
            <family val="2"/>
          </rPr>
          <t xml:space="preserve">
Due to introduction of semi trucks.</t>
        </r>
      </text>
    </comment>
    <comment ref="BC28" authorId="3" shapeId="0" xr:uid="{D060E306-E91D-4231-9771-D30B734EA228}">
      <text>
        <r>
          <rPr>
            <b/>
            <sz val="9"/>
            <rFont val="Tahoma"/>
            <family val="2"/>
          </rPr>
          <t>Canalyst (RZ):</t>
        </r>
        <r>
          <rPr>
            <sz val="9"/>
            <rFont val="Tahoma"/>
            <family val="2"/>
          </rPr>
          <t xml:space="preserve">
Due to introduction of semi trucks.</t>
        </r>
      </text>
    </comment>
    <comment ref="A45" authorId="4" shapeId="0" xr:uid="{6A126E89-5E15-448E-9E6C-678F5F374A82}">
      <text>
        <r>
          <rPr>
            <b/>
            <sz val="9"/>
            <rFont val="Tahoma"/>
            <family val="2"/>
          </rPr>
          <t>Canalyst (JK):</t>
        </r>
        <r>
          <rPr>
            <sz val="9"/>
            <rFont val="Tahoma"/>
            <family val="2"/>
          </rPr>
          <t xml:space="preserve">
Formerly Solar City segment</t>
        </r>
      </text>
    </comment>
    <comment ref="A53" authorId="0" shapeId="0" xr:uid="{8323847F-FA24-4825-A5D4-E8359FB99415}">
      <text>
        <r>
          <rPr>
            <b/>
            <sz val="9"/>
            <rFont val="Tahoma"/>
            <family val="2"/>
          </rPr>
          <t>Canalyst (JH):</t>
        </r>
        <r>
          <rPr>
            <sz val="9"/>
            <rFont val="Tahoma"/>
            <family val="2"/>
          </rPr>
          <t xml:space="preserve">
breakdown reported in a separate PR report</t>
        </r>
      </text>
    </comment>
    <comment ref="G54" authorId="1" shapeId="0" xr:uid="{1B3499BB-AAE8-4C98-8DD4-76157A02D6C0}">
      <text>
        <r>
          <rPr>
            <b/>
            <sz val="9"/>
            <rFont val="Tahoma"/>
            <family val="2"/>
          </rPr>
          <t>Canalyst (KK):</t>
        </r>
        <r>
          <rPr>
            <sz val="9"/>
            <rFont val="Tahoma"/>
            <family val="2"/>
          </rPr>
          <t xml:space="preserve">
Produced 400 cars per week </t>
        </r>
      </text>
    </comment>
    <comment ref="H54" authorId="1" shapeId="0" xr:uid="{C5FBC647-42F5-4BE3-AA9B-E3037D2B895C}">
      <text>
        <r>
          <rPr>
            <b/>
            <sz val="9"/>
            <rFont val="Tahoma"/>
            <family val="2"/>
          </rPr>
          <t>Canalyst (KK):</t>
        </r>
        <r>
          <rPr>
            <sz val="9"/>
            <rFont val="Tahoma"/>
            <family val="2"/>
          </rPr>
          <t xml:space="preserve">
Produced 500 cars per week </t>
        </r>
      </text>
    </comment>
    <comment ref="I54" authorId="1" shapeId="0" xr:uid="{A864B2D8-545F-4809-A6B6-B99CFBE0A1D0}">
      <text>
        <r>
          <rPr>
            <b/>
            <sz val="9"/>
            <rFont val="Tahoma"/>
            <family val="2"/>
          </rPr>
          <t>Canalyst (KK):</t>
        </r>
        <r>
          <rPr>
            <sz val="9"/>
            <rFont val="Tahoma"/>
            <family val="2"/>
          </rPr>
          <t xml:space="preserve">
Produced 550 cars per week </t>
        </r>
      </text>
    </comment>
    <comment ref="N54" authorId="1" shapeId="0" xr:uid="{852CF9D4-C020-4BA9-B07F-BA9869C9B7EC}">
      <text>
        <r>
          <rPr>
            <b/>
            <sz val="9"/>
            <rFont val="Tahoma"/>
            <family val="2"/>
          </rPr>
          <t>Canalyst (KK):</t>
        </r>
        <r>
          <rPr>
            <sz val="9"/>
            <rFont val="Tahoma"/>
            <family val="2"/>
          </rPr>
          <t xml:space="preserve">
Q3 number backed out, not reported</t>
        </r>
      </text>
    </comment>
    <comment ref="P54" authorId="1" shapeId="0" xr:uid="{80AE22A5-90A8-42D7-B2D3-9762ABE5CB09}">
      <text>
        <r>
          <rPr>
            <b/>
            <sz val="9"/>
            <rFont val="Tahoma"/>
            <family val="2"/>
          </rPr>
          <t>Canalyst (KK):</t>
        </r>
        <r>
          <rPr>
            <sz val="9"/>
            <rFont val="Tahoma"/>
            <family val="2"/>
          </rPr>
          <t xml:space="preserve">
We built 11,627 vehicles in Q4, thus achieving our production target of 35,000 Model S vehicles in 2014</t>
        </r>
      </text>
    </comment>
    <comment ref="AX54" authorId="2" shapeId="0" xr:uid="{14FFD492-F822-427F-AA73-190919286DA5}">
      <text>
        <r>
          <rPr>
            <b/>
            <sz val="9"/>
            <rFont val="Tahoma"/>
            <family val="2"/>
            <charset val="1"/>
          </rPr>
          <t>Canalyst (RZ):</t>
        </r>
        <r>
          <rPr>
            <sz val="9"/>
            <rFont val="Tahoma"/>
            <family val="2"/>
            <charset val="1"/>
          </rPr>
          <t xml:space="preserve">
Q4 deliveries as reported on PR</t>
        </r>
      </text>
    </comment>
    <comment ref="AX57" authorId="2" shapeId="0" xr:uid="{8744746C-BB2C-4838-B9B9-297080EB73FA}">
      <text>
        <r>
          <rPr>
            <b/>
            <sz val="9"/>
            <rFont val="Tahoma"/>
            <family val="2"/>
            <charset val="1"/>
          </rPr>
          <t>Canalyst (RZ):</t>
        </r>
        <r>
          <rPr>
            <sz val="9"/>
            <rFont val="Tahoma"/>
            <family val="2"/>
            <charset val="1"/>
          </rPr>
          <t xml:space="preserve">
Q4 deliveries as reported on PR</t>
        </r>
      </text>
    </comment>
    <comment ref="AZ67" authorId="2" shapeId="0" xr:uid="{45B1276A-8670-4746-B3DF-172CAF25D38C}">
      <text>
        <r>
          <rPr>
            <b/>
            <sz val="9"/>
            <rFont val="Tahoma"/>
            <family val="2"/>
          </rPr>
          <t>Canalyst (RZ):</t>
        </r>
        <r>
          <rPr>
            <sz val="9"/>
            <rFont val="Tahoma"/>
            <family val="2"/>
          </rPr>
          <t xml:space="preserve">
Dummy line to sanity check delivery forecasts</t>
        </r>
      </text>
    </comment>
    <comment ref="BA67" authorId="2" shapeId="0" xr:uid="{0EA9D98B-A0B5-4953-AFD7-779FF1F2E2C4}">
      <text>
        <r>
          <rPr>
            <b/>
            <sz val="9"/>
            <rFont val="Tahoma"/>
            <family val="2"/>
          </rPr>
          <t>Canalyst (RZ):</t>
        </r>
        <r>
          <rPr>
            <sz val="9"/>
            <rFont val="Tahoma"/>
            <family val="2"/>
          </rPr>
          <t xml:space="preserve">
Dummy line to sanity check delivery forecasts</t>
        </r>
      </text>
    </comment>
    <comment ref="BB67" authorId="2" shapeId="0" xr:uid="{2C53E91D-633B-4B00-A3B3-00AB79A04575}">
      <text>
        <r>
          <rPr>
            <b/>
            <sz val="9"/>
            <rFont val="Tahoma"/>
            <family val="2"/>
          </rPr>
          <t>Canalyst (RZ):</t>
        </r>
        <r>
          <rPr>
            <sz val="9"/>
            <rFont val="Tahoma"/>
            <family val="2"/>
          </rPr>
          <t xml:space="preserve">
Dummy line to sanity check delivery forecasts</t>
        </r>
      </text>
    </comment>
    <comment ref="BC67" authorId="2" shapeId="0" xr:uid="{0BE8151F-6058-452B-AB37-4D6494A52975}">
      <text>
        <r>
          <rPr>
            <b/>
            <sz val="9"/>
            <rFont val="Tahoma"/>
            <family val="2"/>
          </rPr>
          <t>Canalyst (RZ):</t>
        </r>
        <r>
          <rPr>
            <sz val="9"/>
            <rFont val="Tahoma"/>
            <family val="2"/>
          </rPr>
          <t xml:space="preserve">
Dummy line to sanity check delivery forecasts</t>
        </r>
      </text>
    </comment>
    <comment ref="BE67" authorId="2" shapeId="0" xr:uid="{FC3497E7-A260-454B-9062-A4E151BF6B7B}">
      <text>
        <r>
          <rPr>
            <b/>
            <sz val="9"/>
            <rFont val="Tahoma"/>
            <family val="2"/>
          </rPr>
          <t>Canalyst (RZ):</t>
        </r>
        <r>
          <rPr>
            <sz val="9"/>
            <rFont val="Tahoma"/>
            <family val="2"/>
          </rPr>
          <t xml:space="preserve">
Dummy line to sanity check delivery forecasts</t>
        </r>
      </text>
    </comment>
    <comment ref="BF67" authorId="2" shapeId="0" xr:uid="{CB763F40-7A19-4CB1-B178-8BEF0A092DC6}">
      <text>
        <r>
          <rPr>
            <b/>
            <sz val="9"/>
            <rFont val="Tahoma"/>
            <family val="2"/>
          </rPr>
          <t>Canalyst (RZ):</t>
        </r>
        <r>
          <rPr>
            <sz val="9"/>
            <rFont val="Tahoma"/>
            <family val="2"/>
          </rPr>
          <t xml:space="preserve">
Dummy line to sanity check delivery forecasts</t>
        </r>
      </text>
    </comment>
    <comment ref="BG67" authorId="2" shapeId="0" xr:uid="{69ACFB29-E7EC-4B1F-988A-194CBB7CABFC}">
      <text>
        <r>
          <rPr>
            <b/>
            <sz val="9"/>
            <rFont val="Tahoma"/>
            <family val="2"/>
          </rPr>
          <t>Canalyst (RZ):</t>
        </r>
        <r>
          <rPr>
            <sz val="9"/>
            <rFont val="Tahoma"/>
            <family val="2"/>
          </rPr>
          <t xml:space="preserve">
Dummy line to sanity check delivery forecasts</t>
        </r>
      </text>
    </comment>
    <comment ref="AZ68" authorId="2" shapeId="0" xr:uid="{B549086C-51D0-4969-983F-3A93DD9FD750}">
      <text>
        <r>
          <rPr>
            <b/>
            <sz val="9"/>
            <rFont val="Tahoma"/>
            <family val="2"/>
          </rPr>
          <t>Canalyst (RZ):</t>
        </r>
        <r>
          <rPr>
            <sz val="9"/>
            <rFont val="Tahoma"/>
            <family val="2"/>
          </rPr>
          <t xml:space="preserve">
Dummy line to sanity check delivery forecasts</t>
        </r>
      </text>
    </comment>
    <comment ref="BA68" authorId="2" shapeId="0" xr:uid="{266692DA-5A6D-4ABA-A7ED-50224E5045D8}">
      <text>
        <r>
          <rPr>
            <b/>
            <sz val="9"/>
            <rFont val="Tahoma"/>
            <family val="2"/>
          </rPr>
          <t>Canalyst (RZ):</t>
        </r>
        <r>
          <rPr>
            <sz val="9"/>
            <rFont val="Tahoma"/>
            <family val="2"/>
          </rPr>
          <t xml:space="preserve">
Dummy line to sanity check delivery forecasts</t>
        </r>
      </text>
    </comment>
    <comment ref="BB68" authorId="2" shapeId="0" xr:uid="{222FF649-6B13-412F-AF1B-191C79F0D54A}">
      <text>
        <r>
          <rPr>
            <b/>
            <sz val="9"/>
            <rFont val="Tahoma"/>
            <family val="2"/>
          </rPr>
          <t>Canalyst (RZ):</t>
        </r>
        <r>
          <rPr>
            <sz val="9"/>
            <rFont val="Tahoma"/>
            <family val="2"/>
          </rPr>
          <t xml:space="preserve">
Dummy line to sanity check delivery forecasts</t>
        </r>
      </text>
    </comment>
    <comment ref="BC68" authorId="2" shapeId="0" xr:uid="{A2A9307A-77AE-435B-AB0C-21D6C6FCC874}">
      <text>
        <r>
          <rPr>
            <b/>
            <sz val="9"/>
            <rFont val="Tahoma"/>
            <family val="2"/>
          </rPr>
          <t>Canalyst (RZ):</t>
        </r>
        <r>
          <rPr>
            <sz val="9"/>
            <rFont val="Tahoma"/>
            <family val="2"/>
          </rPr>
          <t xml:space="preserve">
Dummy line to sanity check delivery forecasts</t>
        </r>
      </text>
    </comment>
    <comment ref="BE68" authorId="2" shapeId="0" xr:uid="{A6EE9217-DC7E-4B51-8D9B-6BFC535354C7}">
      <text>
        <r>
          <rPr>
            <b/>
            <sz val="9"/>
            <rFont val="Tahoma"/>
            <family val="2"/>
          </rPr>
          <t>Canalyst (RZ):</t>
        </r>
        <r>
          <rPr>
            <sz val="9"/>
            <rFont val="Tahoma"/>
            <family val="2"/>
          </rPr>
          <t xml:space="preserve">
Dummy line to sanity check delivery forecasts</t>
        </r>
      </text>
    </comment>
    <comment ref="BF68" authorId="2" shapeId="0" xr:uid="{27A6330E-0DE1-42CB-BA29-7160D9B4E791}">
      <text>
        <r>
          <rPr>
            <b/>
            <sz val="9"/>
            <rFont val="Tahoma"/>
            <family val="2"/>
          </rPr>
          <t>Canalyst (RZ):</t>
        </r>
        <r>
          <rPr>
            <sz val="9"/>
            <rFont val="Tahoma"/>
            <family val="2"/>
          </rPr>
          <t xml:space="preserve">
Dummy line to sanity check delivery forecasts</t>
        </r>
      </text>
    </comment>
    <comment ref="BG68" authorId="2" shapeId="0" xr:uid="{03769B02-64D5-40D0-88FE-B5F4F94EF9E4}">
      <text>
        <r>
          <rPr>
            <b/>
            <sz val="9"/>
            <rFont val="Tahoma"/>
            <family val="2"/>
          </rPr>
          <t>Canalyst (RZ):</t>
        </r>
        <r>
          <rPr>
            <sz val="9"/>
            <rFont val="Tahoma"/>
            <family val="2"/>
          </rPr>
          <t xml:space="preserve">
Dummy line to sanity check delivery forecasts</t>
        </r>
      </text>
    </comment>
    <comment ref="BE69" authorId="2" shapeId="0" xr:uid="{0E44968E-FECC-4101-ADFB-99F968FBBFF7}">
      <text>
        <r>
          <rPr>
            <b/>
            <sz val="9"/>
            <rFont val="Tahoma"/>
            <family val="2"/>
          </rPr>
          <t>Canalyst (RZ):</t>
        </r>
        <r>
          <rPr>
            <sz val="9"/>
            <rFont val="Tahoma"/>
            <family val="2"/>
          </rPr>
          <t xml:space="preserve">
Dummy line to sanity check delivery forecasts</t>
        </r>
      </text>
    </comment>
    <comment ref="BF69" authorId="2" shapeId="0" xr:uid="{05F21040-D2BF-4AA5-8D3D-7A8CCAD2C490}">
      <text>
        <r>
          <rPr>
            <b/>
            <sz val="9"/>
            <rFont val="Tahoma"/>
            <family val="2"/>
          </rPr>
          <t>Canalyst (RZ):</t>
        </r>
        <r>
          <rPr>
            <sz val="9"/>
            <rFont val="Tahoma"/>
            <family val="2"/>
          </rPr>
          <t xml:space="preserve">
Dummy line to sanity check delivery forecasts</t>
        </r>
      </text>
    </comment>
    <comment ref="BG69" authorId="2" shapeId="0" xr:uid="{26B48B4F-4FFF-4FFF-9801-9931507EA6F1}">
      <text>
        <r>
          <rPr>
            <b/>
            <sz val="9"/>
            <rFont val="Tahoma"/>
            <family val="2"/>
          </rPr>
          <t>Canalyst (RZ):</t>
        </r>
        <r>
          <rPr>
            <sz val="9"/>
            <rFont val="Tahoma"/>
            <family val="2"/>
          </rPr>
          <t xml:space="preserve">
Dummy line to sanity check delivery forecasts</t>
        </r>
      </text>
    </comment>
    <comment ref="AX72" authorId="2" shapeId="0" xr:uid="{2FBBF97D-0E16-48D9-8B08-47B2B9D22A8A}">
      <text>
        <r>
          <rPr>
            <b/>
            <sz val="9"/>
            <rFont val="Tahoma"/>
            <family val="2"/>
          </rPr>
          <t>Canalyst (RZ):</t>
        </r>
        <r>
          <rPr>
            <sz val="9"/>
            <rFont val="Tahoma"/>
            <family val="2"/>
          </rPr>
          <t xml:space="preserve">
Dummy line to sanity check delivery forecasts</t>
        </r>
      </text>
    </comment>
    <comment ref="AZ72" authorId="2" shapeId="0" xr:uid="{F3F60345-F080-4140-BDE1-EC395F0C7DE2}">
      <text>
        <r>
          <rPr>
            <b/>
            <sz val="9"/>
            <rFont val="Tahoma"/>
            <family val="2"/>
          </rPr>
          <t>Canalyst (RZ):</t>
        </r>
        <r>
          <rPr>
            <sz val="9"/>
            <rFont val="Tahoma"/>
            <family val="2"/>
          </rPr>
          <t xml:space="preserve">
Dummy line to sanity check delivery forecasts</t>
        </r>
      </text>
    </comment>
    <comment ref="BA72" authorId="2" shapeId="0" xr:uid="{AC5DDAF6-3BD7-4E41-BCA2-F86322CD28B2}">
      <text>
        <r>
          <rPr>
            <b/>
            <sz val="9"/>
            <rFont val="Tahoma"/>
            <family val="2"/>
          </rPr>
          <t>Canalyst (RZ):</t>
        </r>
        <r>
          <rPr>
            <sz val="9"/>
            <rFont val="Tahoma"/>
            <family val="2"/>
          </rPr>
          <t xml:space="preserve">
Dummy line to sanity check delivery forecasts</t>
        </r>
      </text>
    </comment>
    <comment ref="BB72" authorId="2" shapeId="0" xr:uid="{0C81ABB0-E194-4D35-B8E7-99B70BD83851}">
      <text>
        <r>
          <rPr>
            <b/>
            <sz val="9"/>
            <rFont val="Tahoma"/>
            <family val="2"/>
          </rPr>
          <t>Canalyst (RZ):</t>
        </r>
        <r>
          <rPr>
            <sz val="9"/>
            <rFont val="Tahoma"/>
            <family val="2"/>
          </rPr>
          <t xml:space="preserve">
Dummy line to sanity check delivery forecasts</t>
        </r>
      </text>
    </comment>
    <comment ref="BC72" authorId="2" shapeId="0" xr:uid="{CBB39FED-83AB-449E-B7DB-B81CA699DB17}">
      <text>
        <r>
          <rPr>
            <b/>
            <sz val="9"/>
            <rFont val="Tahoma"/>
            <family val="2"/>
          </rPr>
          <t>Canalyst (RZ):</t>
        </r>
        <r>
          <rPr>
            <sz val="9"/>
            <rFont val="Tahoma"/>
            <family val="2"/>
          </rPr>
          <t xml:space="preserve">
Dummy line to sanity check delivery forecasts</t>
        </r>
      </text>
    </comment>
    <comment ref="BE72" authorId="2" shapeId="0" xr:uid="{3399D9BC-675E-41C7-AC27-A9E818A8518C}">
      <text>
        <r>
          <rPr>
            <b/>
            <sz val="9"/>
            <rFont val="Tahoma"/>
            <family val="2"/>
          </rPr>
          <t>Canalyst (RZ):</t>
        </r>
        <r>
          <rPr>
            <sz val="9"/>
            <rFont val="Tahoma"/>
            <family val="2"/>
          </rPr>
          <t xml:space="preserve">
Dummy line to sanity check delivery forecasts</t>
        </r>
      </text>
    </comment>
    <comment ref="BF72" authorId="2" shapeId="0" xr:uid="{D6E70574-9E3D-432C-B666-EAC5BB046EFC}">
      <text>
        <r>
          <rPr>
            <b/>
            <sz val="9"/>
            <rFont val="Tahoma"/>
            <family val="2"/>
          </rPr>
          <t>Canalyst (RZ):</t>
        </r>
        <r>
          <rPr>
            <sz val="9"/>
            <rFont val="Tahoma"/>
            <family val="2"/>
          </rPr>
          <t xml:space="preserve">
Dummy line to sanity check delivery forecasts</t>
        </r>
      </text>
    </comment>
    <comment ref="BG72" authorId="2" shapeId="0" xr:uid="{E207E93C-77A1-40E4-9AE2-C4ACCD91863A}">
      <text>
        <r>
          <rPr>
            <b/>
            <sz val="9"/>
            <rFont val="Tahoma"/>
            <family val="2"/>
          </rPr>
          <t>Canalyst (RZ):</t>
        </r>
        <r>
          <rPr>
            <sz val="9"/>
            <rFont val="Tahoma"/>
            <family val="2"/>
          </rPr>
          <t xml:space="preserve">
Dummy line to sanity check delivery forecasts</t>
        </r>
      </text>
    </comment>
    <comment ref="AX73" authorId="2" shapeId="0" xr:uid="{021CF66D-84C4-4724-A845-B54390AA8523}">
      <text>
        <r>
          <rPr>
            <b/>
            <sz val="9"/>
            <rFont val="Tahoma"/>
            <family val="2"/>
          </rPr>
          <t>Canalyst (RZ):</t>
        </r>
        <r>
          <rPr>
            <sz val="9"/>
            <rFont val="Tahoma"/>
            <family val="2"/>
          </rPr>
          <t xml:space="preserve">
Dummy line to sanity check delivery forecasts</t>
        </r>
      </text>
    </comment>
    <comment ref="AZ73" authorId="2" shapeId="0" xr:uid="{230B2923-3118-4511-86E4-C45ADB3B800F}">
      <text>
        <r>
          <rPr>
            <b/>
            <sz val="9"/>
            <rFont val="Tahoma"/>
            <family val="2"/>
          </rPr>
          <t>Canalyst (RZ):</t>
        </r>
        <r>
          <rPr>
            <sz val="9"/>
            <rFont val="Tahoma"/>
            <family val="2"/>
          </rPr>
          <t xml:space="preserve">
Dummy line to sanity check delivery forecasts</t>
        </r>
      </text>
    </comment>
    <comment ref="BA73" authorId="2" shapeId="0" xr:uid="{F9290765-07FF-434D-8BBF-E17D9E2AC16A}">
      <text>
        <r>
          <rPr>
            <b/>
            <sz val="9"/>
            <rFont val="Tahoma"/>
            <family val="2"/>
          </rPr>
          <t>Canalyst (RZ):</t>
        </r>
        <r>
          <rPr>
            <sz val="9"/>
            <rFont val="Tahoma"/>
            <family val="2"/>
          </rPr>
          <t xml:space="preserve">
Dummy line to sanity check delivery forecasts</t>
        </r>
      </text>
    </comment>
    <comment ref="BB73" authorId="2" shapeId="0" xr:uid="{3DB19E90-F538-4FC6-96CC-14C4C90E7A5A}">
      <text>
        <r>
          <rPr>
            <b/>
            <sz val="9"/>
            <rFont val="Tahoma"/>
            <family val="2"/>
          </rPr>
          <t>Canalyst (RZ):</t>
        </r>
        <r>
          <rPr>
            <sz val="9"/>
            <rFont val="Tahoma"/>
            <family val="2"/>
          </rPr>
          <t xml:space="preserve">
Dummy line to sanity check delivery forecasts</t>
        </r>
      </text>
    </comment>
    <comment ref="BC73" authorId="2" shapeId="0" xr:uid="{6E8F12EF-1452-46B2-8776-327F6A70CD49}">
      <text>
        <r>
          <rPr>
            <b/>
            <sz val="9"/>
            <rFont val="Tahoma"/>
            <family val="2"/>
          </rPr>
          <t>Canalyst (RZ):</t>
        </r>
        <r>
          <rPr>
            <sz val="9"/>
            <rFont val="Tahoma"/>
            <family val="2"/>
          </rPr>
          <t xml:space="preserve">
Dummy line to sanity check delivery forecasts</t>
        </r>
      </text>
    </comment>
    <comment ref="BE73" authorId="2" shapeId="0" xr:uid="{5E8C0C46-7C2C-4EC5-A91F-30A3A5A350BE}">
      <text>
        <r>
          <rPr>
            <b/>
            <sz val="9"/>
            <rFont val="Tahoma"/>
            <family val="2"/>
          </rPr>
          <t>Canalyst (RZ):</t>
        </r>
        <r>
          <rPr>
            <sz val="9"/>
            <rFont val="Tahoma"/>
            <family val="2"/>
          </rPr>
          <t xml:space="preserve">
Dummy line to sanity check delivery forecasts</t>
        </r>
      </text>
    </comment>
    <comment ref="BF73" authorId="2" shapeId="0" xr:uid="{D36CC3FB-DE21-4D3F-B05F-94262E1F0BF8}">
      <text>
        <r>
          <rPr>
            <b/>
            <sz val="9"/>
            <rFont val="Tahoma"/>
            <family val="2"/>
          </rPr>
          <t>Canalyst (RZ):</t>
        </r>
        <r>
          <rPr>
            <sz val="9"/>
            <rFont val="Tahoma"/>
            <family val="2"/>
          </rPr>
          <t xml:space="preserve">
Dummy line to sanity check delivery forecasts</t>
        </r>
      </text>
    </comment>
    <comment ref="BG73" authorId="2" shapeId="0" xr:uid="{E11424EE-869D-4CD1-BD47-32D2124474F9}">
      <text>
        <r>
          <rPr>
            <b/>
            <sz val="9"/>
            <rFont val="Tahoma"/>
            <family val="2"/>
          </rPr>
          <t>Canalyst (RZ):</t>
        </r>
        <r>
          <rPr>
            <sz val="9"/>
            <rFont val="Tahoma"/>
            <family val="2"/>
          </rPr>
          <t xml:space="preserve">
Dummy line to sanity check delivery forecasts</t>
        </r>
      </text>
    </comment>
    <comment ref="AV74" authorId="2" shapeId="0" xr:uid="{A6FAD7E2-B041-412D-B7AF-700125149CAF}">
      <text>
        <r>
          <rPr>
            <b/>
            <sz val="9"/>
            <rFont val="Tahoma"/>
            <family val="2"/>
          </rPr>
          <t>Canalyst (RZ):</t>
        </r>
        <r>
          <rPr>
            <sz val="9"/>
            <rFont val="Tahoma"/>
            <family val="2"/>
          </rPr>
          <t xml:space="preserve">
&gt;450,000</t>
        </r>
      </text>
    </comment>
    <comment ref="AW74" authorId="2" shapeId="0" xr:uid="{62F35F88-47D5-4111-8998-731E029D60BD}">
      <text>
        <r>
          <rPr>
            <b/>
            <sz val="9"/>
            <rFont val="Tahoma"/>
            <family val="2"/>
          </rPr>
          <t>Canalyst (RZ):</t>
        </r>
        <r>
          <rPr>
            <sz val="9"/>
            <rFont val="Tahoma"/>
            <family val="2"/>
          </rPr>
          <t xml:space="preserve">
&gt;450,000</t>
        </r>
      </text>
    </comment>
    <comment ref="AX74" authorId="2" shapeId="0" xr:uid="{F078DB32-104B-4F7F-B88E-E5149AC8E19C}">
      <text>
        <r>
          <rPr>
            <b/>
            <sz val="9"/>
            <rFont val="Tahoma"/>
            <family val="2"/>
          </rPr>
          <t>Canalyst (RZ):</t>
        </r>
        <r>
          <rPr>
            <sz val="9"/>
            <rFont val="Tahoma"/>
            <family val="2"/>
          </rPr>
          <t xml:space="preserve">
Dummy line to sanity check delivery forecasts</t>
        </r>
      </text>
    </comment>
    <comment ref="AZ74" authorId="2" shapeId="0" xr:uid="{B7A719AD-13A8-46F5-B476-8F15ADE8D92D}">
      <text>
        <r>
          <rPr>
            <b/>
            <sz val="9"/>
            <rFont val="Tahoma"/>
            <family val="2"/>
          </rPr>
          <t>Canalyst (RZ):</t>
        </r>
        <r>
          <rPr>
            <sz val="9"/>
            <rFont val="Tahoma"/>
            <family val="2"/>
          </rPr>
          <t xml:space="preserve">
Dummy line to sanity check delivery forecasts</t>
        </r>
      </text>
    </comment>
    <comment ref="BA74" authorId="2" shapeId="0" xr:uid="{9F0EFDDC-EFEB-4073-B3F6-5AC2DF684BC4}">
      <text>
        <r>
          <rPr>
            <b/>
            <sz val="9"/>
            <rFont val="Tahoma"/>
            <family val="2"/>
          </rPr>
          <t>Canalyst (RZ):</t>
        </r>
        <r>
          <rPr>
            <sz val="9"/>
            <rFont val="Tahoma"/>
            <family val="2"/>
          </rPr>
          <t xml:space="preserve">
Dummy line to sanity check delivery forecasts</t>
        </r>
      </text>
    </comment>
    <comment ref="BB74" authorId="2" shapeId="0" xr:uid="{DAEE7956-8643-4AD2-A5FC-F2BE2720F146}">
      <text>
        <r>
          <rPr>
            <b/>
            <sz val="9"/>
            <rFont val="Tahoma"/>
            <family val="2"/>
          </rPr>
          <t>Canalyst (RZ):</t>
        </r>
        <r>
          <rPr>
            <sz val="9"/>
            <rFont val="Tahoma"/>
            <family val="2"/>
          </rPr>
          <t xml:space="preserve">
Dummy line to sanity check delivery forecasts</t>
        </r>
      </text>
    </comment>
    <comment ref="BC74" authorId="2" shapeId="0" xr:uid="{D6087C61-D33C-428A-89C7-E79C82AF62E6}">
      <text>
        <r>
          <rPr>
            <b/>
            <sz val="9"/>
            <rFont val="Tahoma"/>
            <family val="2"/>
          </rPr>
          <t>Canalyst (RZ):</t>
        </r>
        <r>
          <rPr>
            <sz val="9"/>
            <rFont val="Tahoma"/>
            <family val="2"/>
          </rPr>
          <t xml:space="preserve">
Dummy line to sanity check delivery forecasts</t>
        </r>
      </text>
    </comment>
    <comment ref="BE74" authorId="2" shapeId="0" xr:uid="{20E7EDFB-E0E1-4B47-8894-A45A8506DE91}">
      <text>
        <r>
          <rPr>
            <b/>
            <sz val="9"/>
            <rFont val="Tahoma"/>
            <family val="2"/>
          </rPr>
          <t>Canalyst (RZ):</t>
        </r>
        <r>
          <rPr>
            <sz val="9"/>
            <rFont val="Tahoma"/>
            <family val="2"/>
          </rPr>
          <t xml:space="preserve">
Dummy line to sanity check delivery forecasts</t>
        </r>
      </text>
    </comment>
    <comment ref="BF74" authorId="2" shapeId="0" xr:uid="{468F6211-AB07-4B6C-8684-BFB346D7B8D5}">
      <text>
        <r>
          <rPr>
            <b/>
            <sz val="9"/>
            <rFont val="Tahoma"/>
            <family val="2"/>
          </rPr>
          <t>Canalyst (RZ):</t>
        </r>
        <r>
          <rPr>
            <sz val="9"/>
            <rFont val="Tahoma"/>
            <family val="2"/>
          </rPr>
          <t xml:space="preserve">
Dummy line to sanity check delivery forecasts</t>
        </r>
      </text>
    </comment>
    <comment ref="BG74" authorId="2" shapeId="0" xr:uid="{7035E4C6-734C-4412-9F65-B6F927A2225F}">
      <text>
        <r>
          <rPr>
            <b/>
            <sz val="9"/>
            <rFont val="Tahoma"/>
            <family val="2"/>
          </rPr>
          <t>Canalyst (RZ):</t>
        </r>
        <r>
          <rPr>
            <sz val="9"/>
            <rFont val="Tahoma"/>
            <family val="2"/>
          </rPr>
          <t xml:space="preserve">
Dummy line to sanity check delivery forecasts</t>
        </r>
      </text>
    </comment>
    <comment ref="AZ75" authorId="2" shapeId="0" xr:uid="{324A541B-FBBB-4045-8867-A9A18D343D3D}">
      <text>
        <r>
          <rPr>
            <b/>
            <sz val="9"/>
            <rFont val="Tahoma"/>
            <family val="2"/>
          </rPr>
          <t>Canalyst (RZ):</t>
        </r>
        <r>
          <rPr>
            <sz val="9"/>
            <rFont val="Tahoma"/>
            <family val="2"/>
          </rPr>
          <t xml:space="preserve">
Dummy line to sanity check delivery forecasts</t>
        </r>
      </text>
    </comment>
    <comment ref="BA75" authorId="2" shapeId="0" xr:uid="{776509D2-F56B-45C0-B3F4-FE10D4EF4E9E}">
      <text>
        <r>
          <rPr>
            <b/>
            <sz val="9"/>
            <rFont val="Tahoma"/>
            <family val="2"/>
          </rPr>
          <t>Canalyst (RZ):</t>
        </r>
        <r>
          <rPr>
            <sz val="9"/>
            <rFont val="Tahoma"/>
            <family val="2"/>
          </rPr>
          <t xml:space="preserve">
Dummy line to sanity check delivery forecasts</t>
        </r>
      </text>
    </comment>
    <comment ref="BB75" authorId="2" shapeId="0" xr:uid="{7FABEA39-218F-4A53-AB45-675861A92DF7}">
      <text>
        <r>
          <rPr>
            <b/>
            <sz val="9"/>
            <rFont val="Tahoma"/>
            <family val="2"/>
          </rPr>
          <t>Canalyst (RZ):</t>
        </r>
        <r>
          <rPr>
            <sz val="9"/>
            <rFont val="Tahoma"/>
            <family val="2"/>
          </rPr>
          <t xml:space="preserve">
Dummy line to sanity check delivery forecasts</t>
        </r>
      </text>
    </comment>
    <comment ref="BC75" authorId="2" shapeId="0" xr:uid="{25C91790-992E-4979-B2EF-D6A8ECDAEE36}">
      <text>
        <r>
          <rPr>
            <b/>
            <sz val="9"/>
            <rFont val="Tahoma"/>
            <family val="2"/>
          </rPr>
          <t>Canalyst (RZ):</t>
        </r>
        <r>
          <rPr>
            <sz val="9"/>
            <rFont val="Tahoma"/>
            <family val="2"/>
          </rPr>
          <t xml:space="preserve">
Dummy line to sanity check delivery forecasts</t>
        </r>
      </text>
    </comment>
    <comment ref="BE75" authorId="2" shapeId="0" xr:uid="{EFC02BF3-17ED-49B7-8269-AB61BD1C8EB1}">
      <text>
        <r>
          <rPr>
            <b/>
            <sz val="9"/>
            <rFont val="Tahoma"/>
            <family val="2"/>
          </rPr>
          <t>Canalyst (RZ):</t>
        </r>
        <r>
          <rPr>
            <sz val="9"/>
            <rFont val="Tahoma"/>
            <family val="2"/>
          </rPr>
          <t xml:space="preserve">
Dummy line to sanity check delivery forecasts</t>
        </r>
      </text>
    </comment>
    <comment ref="BF75" authorId="2" shapeId="0" xr:uid="{01986C99-A8CA-4E36-A5F1-13E6484D9610}">
      <text>
        <r>
          <rPr>
            <b/>
            <sz val="9"/>
            <rFont val="Tahoma"/>
            <family val="2"/>
          </rPr>
          <t>Canalyst (RZ):</t>
        </r>
        <r>
          <rPr>
            <sz val="9"/>
            <rFont val="Tahoma"/>
            <family val="2"/>
          </rPr>
          <t xml:space="preserve">
Dummy line to sanity check delivery forecasts</t>
        </r>
      </text>
    </comment>
    <comment ref="BG75" authorId="2" shapeId="0" xr:uid="{E9F3917E-A875-4283-86B5-36B87B46AFA6}">
      <text>
        <r>
          <rPr>
            <b/>
            <sz val="9"/>
            <rFont val="Tahoma"/>
            <family val="2"/>
          </rPr>
          <t>Canalyst (RZ):</t>
        </r>
        <r>
          <rPr>
            <sz val="9"/>
            <rFont val="Tahoma"/>
            <family val="2"/>
          </rPr>
          <t xml:space="preserve">
Dummy line to sanity check delivery forecasts</t>
        </r>
      </text>
    </comment>
    <comment ref="AZ76" authorId="2" shapeId="0" xr:uid="{08805126-47F4-46BE-BD69-6B096526FF3C}">
      <text>
        <r>
          <rPr>
            <b/>
            <sz val="9"/>
            <rFont val="Tahoma"/>
            <family val="2"/>
          </rPr>
          <t>Canalyst (RZ):</t>
        </r>
        <r>
          <rPr>
            <sz val="9"/>
            <rFont val="Tahoma"/>
            <family val="2"/>
          </rPr>
          <t xml:space="preserve">
Dummy line to sanity check delivery forecasts</t>
        </r>
      </text>
    </comment>
    <comment ref="BA76" authorId="2" shapeId="0" xr:uid="{6BF44520-A503-4990-B140-707AD6A07225}">
      <text>
        <r>
          <rPr>
            <b/>
            <sz val="9"/>
            <rFont val="Tahoma"/>
            <family val="2"/>
          </rPr>
          <t>Canalyst (RZ):</t>
        </r>
        <r>
          <rPr>
            <sz val="9"/>
            <rFont val="Tahoma"/>
            <family val="2"/>
          </rPr>
          <t xml:space="preserve">
Dummy line to sanity check delivery forecasts</t>
        </r>
      </text>
    </comment>
    <comment ref="BB76" authorId="2" shapeId="0" xr:uid="{72DEEC91-DD29-4FBA-9710-395561AF8B95}">
      <text>
        <r>
          <rPr>
            <b/>
            <sz val="9"/>
            <rFont val="Tahoma"/>
            <family val="2"/>
          </rPr>
          <t>Canalyst (RZ):</t>
        </r>
        <r>
          <rPr>
            <sz val="9"/>
            <rFont val="Tahoma"/>
            <family val="2"/>
          </rPr>
          <t xml:space="preserve">
Dummy line to sanity check delivery forecasts</t>
        </r>
      </text>
    </comment>
    <comment ref="BC76" authorId="2" shapeId="0" xr:uid="{2DFC9973-074C-47F9-ADD6-FB3C09883510}">
      <text>
        <r>
          <rPr>
            <b/>
            <sz val="9"/>
            <rFont val="Tahoma"/>
            <family val="2"/>
          </rPr>
          <t>Canalyst (RZ):</t>
        </r>
        <r>
          <rPr>
            <sz val="9"/>
            <rFont val="Tahoma"/>
            <family val="2"/>
          </rPr>
          <t xml:space="preserve">
Dummy line to sanity check delivery forecasts</t>
        </r>
      </text>
    </comment>
    <comment ref="BE76" authorId="2" shapeId="0" xr:uid="{BC1C3D8D-A0F3-453A-AC9A-A3C1B363C988}">
      <text>
        <r>
          <rPr>
            <b/>
            <sz val="9"/>
            <rFont val="Tahoma"/>
            <family val="2"/>
          </rPr>
          <t>Canalyst (RZ):</t>
        </r>
        <r>
          <rPr>
            <sz val="9"/>
            <rFont val="Tahoma"/>
            <family val="2"/>
          </rPr>
          <t xml:space="preserve">
Dummy line to sanity check delivery forecasts</t>
        </r>
      </text>
    </comment>
    <comment ref="BF76" authorId="2" shapeId="0" xr:uid="{0E8C05A9-337B-46A8-B6BF-D89681B7C0AF}">
      <text>
        <r>
          <rPr>
            <b/>
            <sz val="9"/>
            <rFont val="Tahoma"/>
            <family val="2"/>
          </rPr>
          <t>Canalyst (RZ):</t>
        </r>
        <r>
          <rPr>
            <sz val="9"/>
            <rFont val="Tahoma"/>
            <family val="2"/>
          </rPr>
          <t xml:space="preserve">
Dummy line to sanity check delivery forecasts</t>
        </r>
      </text>
    </comment>
    <comment ref="BG76" authorId="2" shapeId="0" xr:uid="{9FDB7036-8186-4DF6-B91F-C48B5751C36D}">
      <text>
        <r>
          <rPr>
            <b/>
            <sz val="9"/>
            <rFont val="Tahoma"/>
            <family val="2"/>
          </rPr>
          <t>Canalyst (RZ):</t>
        </r>
        <r>
          <rPr>
            <sz val="9"/>
            <rFont val="Tahoma"/>
            <family val="2"/>
          </rPr>
          <t xml:space="preserve">
Dummy line to sanity check delivery forecasts</t>
        </r>
      </text>
    </comment>
    <comment ref="BE77" authorId="2" shapeId="0" xr:uid="{9F65E7E9-09E8-487E-AE34-02E8F703ECD3}">
      <text>
        <r>
          <rPr>
            <b/>
            <sz val="9"/>
            <rFont val="Tahoma"/>
            <family val="2"/>
          </rPr>
          <t>Canalyst (RZ):</t>
        </r>
        <r>
          <rPr>
            <sz val="9"/>
            <rFont val="Tahoma"/>
            <family val="2"/>
          </rPr>
          <t xml:space="preserve">
Dummy line to sanity check delivery forecasts</t>
        </r>
      </text>
    </comment>
    <comment ref="BF77" authorId="2" shapeId="0" xr:uid="{662C0321-642B-4110-9341-E8F779849E8F}">
      <text>
        <r>
          <rPr>
            <b/>
            <sz val="9"/>
            <rFont val="Tahoma"/>
            <family val="2"/>
          </rPr>
          <t>Canalyst (RZ):</t>
        </r>
        <r>
          <rPr>
            <sz val="9"/>
            <rFont val="Tahoma"/>
            <family val="2"/>
          </rPr>
          <t xml:space="preserve">
Dummy line to sanity check delivery forecasts</t>
        </r>
      </text>
    </comment>
    <comment ref="BG77" authorId="2" shapeId="0" xr:uid="{7050012C-3E36-4CD1-93D8-7D948945ECEE}">
      <text>
        <r>
          <rPr>
            <b/>
            <sz val="9"/>
            <rFont val="Tahoma"/>
            <family val="2"/>
          </rPr>
          <t>Canalyst (RZ):</t>
        </r>
        <r>
          <rPr>
            <sz val="9"/>
            <rFont val="Tahoma"/>
            <family val="2"/>
          </rPr>
          <t xml:space="preserve">
Dummy line to sanity check delivery forecasts</t>
        </r>
      </text>
    </comment>
    <comment ref="A84" authorId="0" shapeId="0" xr:uid="{00000000-0006-0000-0100-000005000000}">
      <text>
        <r>
          <rPr>
            <b/>
            <sz val="9"/>
            <rFont val="Tahoma"/>
            <family val="2"/>
          </rPr>
          <t>Canalyst (JH):</t>
        </r>
        <r>
          <rPr>
            <sz val="9"/>
            <rFont val="Tahoma"/>
            <family val="2"/>
          </rPr>
          <t xml:space="preserve">
breakdown reported in a separate PR report</t>
        </r>
      </text>
    </comment>
    <comment ref="A85" authorId="3" shapeId="0" xr:uid="{252C4655-2332-4BB2-9081-55AD9334D532}">
      <text>
        <r>
          <rPr>
            <b/>
            <sz val="9"/>
            <rFont val="Tahoma"/>
            <family val="2"/>
          </rPr>
          <t>Canalyst (LX):</t>
        </r>
        <r>
          <rPr>
            <sz val="9"/>
            <rFont val="Tahoma"/>
            <family val="2"/>
          </rPr>
          <t xml:space="preserve">
Calculated by dividing new car inventory by the trailing four quarters of deliveries and using 261 working days.</t>
        </r>
      </text>
    </comment>
    <comment ref="AQ85" authorId="3" shapeId="0" xr:uid="{AE796D4C-FEB3-4D2D-BD7A-446B5DCD474A}">
      <text>
        <r>
          <rPr>
            <b/>
            <sz val="9"/>
            <rFont val="Tahoma"/>
            <family val="2"/>
          </rPr>
          <t>Canalyst (LX):</t>
        </r>
        <r>
          <rPr>
            <sz val="9"/>
            <rFont val="Tahoma"/>
            <family val="2"/>
          </rPr>
          <t xml:space="preserve">
Calculated by dividing new car ending inventory by the quarter's deliveries and using 75 trading days (aligned with Automotive News definition).</t>
        </r>
      </text>
    </comment>
    <comment ref="E87" authorId="1" shapeId="0" xr:uid="{78CC6301-75A2-4376-9DC2-B5B0FEE1F4BF}">
      <text>
        <r>
          <rPr>
            <b/>
            <sz val="9"/>
            <rFont val="Tahoma"/>
            <family val="2"/>
          </rPr>
          <t>Canalyst (KK):</t>
        </r>
        <r>
          <rPr>
            <sz val="9"/>
            <rFont val="Tahoma"/>
            <family val="2"/>
          </rPr>
          <t xml:space="preserve">
Through December 31, 2011, we had delivered approximately 2,150 Roadsters to customers. We plan to sell our remaining Tesla Roadsters during 2012 primarily in Europe and Asia until our inventory is depleted.</t>
        </r>
      </text>
    </comment>
    <comment ref="F87" authorId="1" shapeId="0" xr:uid="{0CE276A7-B570-4755-AD66-E14FD6B75E30}">
      <text>
        <r>
          <rPr>
            <b/>
            <sz val="9"/>
            <rFont val="Tahoma"/>
            <family val="2"/>
          </rPr>
          <t>Canalyst (KK):</t>
        </r>
        <r>
          <rPr>
            <sz val="9"/>
            <rFont val="Tahoma"/>
            <family val="2"/>
          </rPr>
          <t xml:space="preserve">
Backed out from cumulative numbers ; Production run of Tesla roadster concluded in January 2012</t>
        </r>
      </text>
    </comment>
    <comment ref="AA88" authorId="5" shapeId="0" xr:uid="{00000000-0006-0000-0100-000006000000}">
      <text>
        <r>
          <rPr>
            <b/>
            <sz val="9"/>
            <rFont val="Tahoma"/>
            <family val="2"/>
          </rPr>
          <t>Canalyst (BI):</t>
        </r>
        <r>
          <rPr>
            <sz val="9"/>
            <rFont val="Tahoma"/>
            <family val="2"/>
          </rPr>
          <t xml:space="preserve">
As reported; approximate.
</t>
        </r>
      </text>
    </comment>
    <comment ref="AB88" authorId="5" shapeId="0" xr:uid="{00000000-0006-0000-0100-000007000000}">
      <text>
        <r>
          <rPr>
            <b/>
            <sz val="9"/>
            <rFont val="Tahoma"/>
            <family val="2"/>
          </rPr>
          <t>Canalyst (BI):</t>
        </r>
        <r>
          <rPr>
            <sz val="9"/>
            <rFont val="Tahoma"/>
            <family val="2"/>
          </rPr>
          <t xml:space="preserve">
As reported; approximate.
</t>
        </r>
      </text>
    </comment>
    <comment ref="AA89" authorId="5" shapeId="0" xr:uid="{00000000-0006-0000-0100-000008000000}">
      <text>
        <r>
          <rPr>
            <b/>
            <sz val="9"/>
            <rFont val="Tahoma"/>
            <family val="2"/>
          </rPr>
          <t>Canalyst (BI):</t>
        </r>
        <r>
          <rPr>
            <sz val="9"/>
            <rFont val="Tahoma"/>
            <family val="2"/>
          </rPr>
          <t xml:space="preserve">
As reported; approximate.</t>
        </r>
      </text>
    </comment>
    <comment ref="AB89" authorId="5" shapeId="0" xr:uid="{00000000-0006-0000-0100-000009000000}">
      <text>
        <r>
          <rPr>
            <b/>
            <sz val="9"/>
            <rFont val="Tahoma"/>
            <family val="2"/>
          </rPr>
          <t>Canalyst (BI):</t>
        </r>
        <r>
          <rPr>
            <sz val="9"/>
            <rFont val="Tahoma"/>
            <family val="2"/>
          </rPr>
          <t xml:space="preserve">
As reported; approximate.</t>
        </r>
      </text>
    </comment>
    <comment ref="AC90" authorId="6" shapeId="0" xr:uid="{00000000-0006-0000-0100-00000A000000}">
      <text>
        <r>
          <rPr>
            <b/>
            <sz val="9"/>
            <rFont val="Tahoma"/>
            <family val="2"/>
          </rPr>
          <t>Canalyst (DC):</t>
        </r>
        <r>
          <rPr>
            <sz val="9"/>
            <rFont val="Tahoma"/>
            <family val="2"/>
          </rPr>
          <t xml:space="preserve">
No breakdown reported</t>
        </r>
      </text>
    </comment>
    <comment ref="AX90" authorId="2" shapeId="0" xr:uid="{2CFCA5B6-5793-41DB-BA99-83720322168F}">
      <text>
        <r>
          <rPr>
            <b/>
            <sz val="9"/>
            <rFont val="Tahoma"/>
            <family val="2"/>
            <charset val="1"/>
          </rPr>
          <t>Canalyst (RZ):</t>
        </r>
        <r>
          <rPr>
            <sz val="9"/>
            <rFont val="Tahoma"/>
            <family val="2"/>
            <charset val="1"/>
          </rPr>
          <t xml:space="preserve">
Q4 deliveries as reported on PR</t>
        </r>
      </text>
    </comment>
    <comment ref="AC93" authorId="0" shapeId="0" xr:uid="{00000000-0006-0000-0100-00000B000000}">
      <text>
        <r>
          <rPr>
            <b/>
            <sz val="9"/>
            <rFont val="Tahoma"/>
            <family val="2"/>
          </rPr>
          <t>Canalyst (JH):</t>
        </r>
        <r>
          <rPr>
            <sz val="9"/>
            <rFont val="Tahoma"/>
            <family val="2"/>
          </rPr>
          <t xml:space="preserve">
Model 3 on track for initial production in July, volume production by September as per Q4 2016 PR</t>
        </r>
      </text>
    </comment>
    <comment ref="AX93" authorId="2" shapeId="0" xr:uid="{63FE11E8-EC6C-4A73-85A7-B9A1705C51D1}">
      <text>
        <r>
          <rPr>
            <b/>
            <sz val="9"/>
            <rFont val="Tahoma"/>
            <family val="2"/>
            <charset val="1"/>
          </rPr>
          <t>Canalyst (RZ):</t>
        </r>
        <r>
          <rPr>
            <sz val="9"/>
            <rFont val="Tahoma"/>
            <family val="2"/>
            <charset val="1"/>
          </rPr>
          <t xml:space="preserve">
Q4 deliveries as reported on PR</t>
        </r>
      </text>
    </comment>
    <comment ref="A96" authorId="3" shapeId="0" xr:uid="{6EA319D4-BE56-496A-A4E5-1B11DF167FD3}">
      <text>
        <r>
          <rPr>
            <b/>
            <sz val="9"/>
            <rFont val="Tahoma"/>
            <family val="2"/>
          </rPr>
          <t>Canalyst (RZ):</t>
        </r>
        <r>
          <rPr>
            <sz val="9"/>
            <rFont val="Tahoma"/>
            <family val="2"/>
          </rPr>
          <t xml:space="preserve">
Includes cybertrucks and semi-trucks. Assumes production starts in 2023.</t>
        </r>
      </text>
    </comment>
    <comment ref="D99" authorId="1" shapeId="0" xr:uid="{AA3FF2F1-82DF-4FD4-8547-8B3CBF36CC8A}">
      <text>
        <r>
          <rPr>
            <b/>
            <sz val="9"/>
            <rFont val="Tahoma"/>
            <family val="2"/>
          </rPr>
          <t>Canalyst (KK):</t>
        </r>
        <r>
          <rPr>
            <sz val="9"/>
            <rFont val="Tahoma"/>
            <family val="2"/>
          </rPr>
          <t xml:space="preserve">
This is a cumulative number hence not comparable </t>
        </r>
      </text>
    </comment>
    <comment ref="A113" authorId="2" shapeId="0" xr:uid="{05653FD5-23D6-48C4-A27E-94F3E745A6F1}">
      <text>
        <r>
          <rPr>
            <b/>
            <sz val="9"/>
            <rFont val="Tahoma"/>
            <family val="2"/>
          </rPr>
          <t>Canalyst (RZ):</t>
        </r>
        <r>
          <rPr>
            <sz val="9"/>
            <rFont val="Tahoma"/>
            <family val="2"/>
          </rPr>
          <t xml:space="preserve">
Calculated based on deliveries not subject to operating lease as per company's definition</t>
        </r>
      </text>
    </comment>
    <comment ref="AF113" authorId="2" shapeId="0" xr:uid="{5D861635-CFEC-4D11-83B1-027BD33EC141}">
      <text>
        <r>
          <rPr>
            <b/>
            <sz val="9"/>
            <rFont val="Tahoma"/>
            <family val="2"/>
          </rPr>
          <t>Canalyst (RZ):</t>
        </r>
        <r>
          <rPr>
            <sz val="9"/>
            <rFont val="Tahoma"/>
            <family val="2"/>
          </rPr>
          <t xml:space="preserve">
Starts to exclude regulatory credits and operating lease vehicles from this period onwards</t>
        </r>
      </text>
    </comment>
    <comment ref="AF114" authorId="2" shapeId="0" xr:uid="{00F5CB73-5D3C-447E-8C70-C50CA61CED0D}">
      <text>
        <r>
          <rPr>
            <b/>
            <sz val="9"/>
            <rFont val="Tahoma"/>
            <family val="2"/>
          </rPr>
          <t>Canalyst (RZ):</t>
        </r>
        <r>
          <rPr>
            <sz val="9"/>
            <rFont val="Tahoma"/>
            <family val="2"/>
          </rPr>
          <t xml:space="preserve">
Not comparable to previous period as implied price per delivery starts to exclude operating lease vehicles and regulatory credits</t>
        </r>
      </text>
    </comment>
    <comment ref="A115" authorId="2" shapeId="0" xr:uid="{90BD5FA5-0B34-43A5-96B4-B88BFA52E0BB}">
      <text>
        <r>
          <rPr>
            <b/>
            <sz val="9"/>
            <rFont val="Tahoma"/>
            <family val="2"/>
          </rPr>
          <t>Canalyst (RZ):</t>
        </r>
        <r>
          <rPr>
            <sz val="9"/>
            <rFont val="Tahoma"/>
            <family val="2"/>
          </rPr>
          <t xml:space="preserve">
Reported in the text of "Summary" on Shareholder Deck; quoted as "ASP"</t>
        </r>
      </text>
    </comment>
    <comment ref="AF115" authorId="2" shapeId="0" xr:uid="{4DCDE598-E774-4BED-9719-85344B4065B3}">
      <text>
        <r>
          <rPr>
            <b/>
            <sz val="9"/>
            <rFont val="Tahoma"/>
            <family val="2"/>
          </rPr>
          <t>Canalyst (RZ):</t>
        </r>
        <r>
          <rPr>
            <sz val="9"/>
            <rFont val="Tahoma"/>
            <family val="2"/>
          </rPr>
          <t xml:space="preserve">
Not comparable to previous period as implied price per delivery starts to exclude operating lease vehicles and regulatory credits</t>
        </r>
      </text>
    </comment>
    <comment ref="AG115" authorId="2" shapeId="0" xr:uid="{8685A362-AD98-4723-861B-70DFE4A16191}">
      <text>
        <r>
          <rPr>
            <b/>
            <sz val="9"/>
            <rFont val="Tahoma"/>
            <family val="2"/>
          </rPr>
          <t>Canalyst (RZ):</t>
        </r>
        <r>
          <rPr>
            <sz val="9"/>
            <rFont val="Tahoma"/>
            <family val="2"/>
          </rPr>
          <t xml:space="preserve">
Not comparable to previous period as implied price per delivery starts to exclude operating lease vehicles and regulatory credits</t>
        </r>
      </text>
    </comment>
    <comment ref="AH115" authorId="2" shapeId="0" xr:uid="{4AC45F0A-7B96-4882-8150-B51D732496F4}">
      <text>
        <r>
          <rPr>
            <b/>
            <sz val="9"/>
            <rFont val="Tahoma"/>
            <family val="2"/>
          </rPr>
          <t>Canalyst (RZ):</t>
        </r>
        <r>
          <rPr>
            <sz val="9"/>
            <rFont val="Tahoma"/>
            <family val="2"/>
          </rPr>
          <t xml:space="preserve">
Not comparable to previous period as implied price per delivery starts to exclude operating lease vehicles and regulatory credits</t>
        </r>
      </text>
    </comment>
    <comment ref="AI115" authorId="2" shapeId="0" xr:uid="{D48B9945-8E47-444F-9C17-DF8FD6F6C623}">
      <text>
        <r>
          <rPr>
            <b/>
            <sz val="9"/>
            <rFont val="Tahoma"/>
            <family val="2"/>
          </rPr>
          <t>Canalyst (RZ):</t>
        </r>
        <r>
          <rPr>
            <sz val="9"/>
            <rFont val="Tahoma"/>
            <family val="2"/>
          </rPr>
          <t xml:space="preserve">
Not comparable to previous period as implied price per delivery starts to exclude operating lease vehicles and regulatory credits</t>
        </r>
      </text>
    </comment>
    <comment ref="AJ115" authorId="2" shapeId="0" xr:uid="{259FD58F-84D4-4743-8851-0BE90AF02CB8}">
      <text>
        <r>
          <rPr>
            <b/>
            <sz val="9"/>
            <rFont val="Tahoma"/>
            <family val="2"/>
          </rPr>
          <t>Canalyst (RZ):</t>
        </r>
        <r>
          <rPr>
            <sz val="9"/>
            <rFont val="Tahoma"/>
            <family val="2"/>
          </rPr>
          <t xml:space="preserve">
Not comparable to previous period as implied price per delivery starts to exclude operating lease vehicles and regulatory credits</t>
        </r>
      </text>
    </comment>
    <comment ref="AW115" authorId="2" shapeId="0" xr:uid="{B514B2D5-BF9A-4A77-94F4-7B61A39DF5A3}">
      <text>
        <r>
          <rPr>
            <b/>
            <sz val="9"/>
            <rFont val="Tahoma"/>
            <family val="2"/>
          </rPr>
          <t>Canalyst (RZ):</t>
        </r>
        <r>
          <rPr>
            <sz val="9"/>
            <rFont val="Tahoma"/>
            <family val="2"/>
          </rPr>
          <t xml:space="preserve">
reported as -6%</t>
        </r>
      </text>
    </comment>
    <comment ref="AZ115" authorId="3" shapeId="0" xr:uid="{A2BCB71D-5ECA-4C2A-9838-C129C2FD07D8}">
      <text>
        <r>
          <rPr>
            <b/>
            <sz val="9"/>
            <rFont val="Tahoma"/>
            <family val="2"/>
          </rPr>
          <t>Canalyst (RZ):</t>
        </r>
        <r>
          <rPr>
            <sz val="9"/>
            <rFont val="Tahoma"/>
            <family val="2"/>
          </rPr>
          <t xml:space="preserve">
Due to introduction of semi trucks.</t>
        </r>
      </text>
    </comment>
    <comment ref="BA115" authorId="3" shapeId="0" xr:uid="{A149E5B6-18F9-45E6-AA28-6B52B28E6118}">
      <text>
        <r>
          <rPr>
            <b/>
            <sz val="9"/>
            <rFont val="Tahoma"/>
            <family val="2"/>
          </rPr>
          <t>Canalyst (RZ):</t>
        </r>
        <r>
          <rPr>
            <sz val="9"/>
            <rFont val="Tahoma"/>
            <family val="2"/>
          </rPr>
          <t xml:space="preserve">
Due to introduction of semi trucks.</t>
        </r>
      </text>
    </comment>
    <comment ref="BB115" authorId="3" shapeId="0" xr:uid="{B807FB08-668D-4A83-A2C7-CCF366AD693D}">
      <text>
        <r>
          <rPr>
            <b/>
            <sz val="9"/>
            <rFont val="Tahoma"/>
            <family val="2"/>
          </rPr>
          <t>Canalyst (RZ):</t>
        </r>
        <r>
          <rPr>
            <sz val="9"/>
            <rFont val="Tahoma"/>
            <family val="2"/>
          </rPr>
          <t xml:space="preserve">
Due to introduction of semi trucks.</t>
        </r>
      </text>
    </comment>
    <comment ref="BC115" authorId="3" shapeId="0" xr:uid="{1E1B2C2E-5328-468C-8C43-E2E59F2EAF5C}">
      <text>
        <r>
          <rPr>
            <b/>
            <sz val="9"/>
            <rFont val="Tahoma"/>
            <family val="2"/>
          </rPr>
          <t>Canalyst (RZ):</t>
        </r>
        <r>
          <rPr>
            <sz val="9"/>
            <rFont val="Tahoma"/>
            <family val="2"/>
          </rPr>
          <t xml:space="preserve">
Due to introduction of semi trucks.</t>
        </r>
      </text>
    </comment>
    <comment ref="AK120" authorId="2" shapeId="0" xr:uid="{B3EAADFF-1D73-4D31-A22B-0AAA034C5D22}">
      <text>
        <r>
          <rPr>
            <b/>
            <sz val="9"/>
            <rFont val="Tahoma"/>
            <family val="2"/>
          </rPr>
          <t>Canalyst (RZ):</t>
        </r>
        <r>
          <rPr>
            <sz val="9"/>
            <rFont val="Tahoma"/>
            <family val="2"/>
          </rPr>
          <t xml:space="preserve">
We made pricing adjustments to our vehicle offerings during the three months ended March 31, 2019, which resulted in a reduction of automotive sales with resale value guarantee revenues. 
The amount presented represents gross automotive sales with resale value guarantee in the three months ended March 31, 2019 net of such pricing adjustments impact.</t>
        </r>
      </text>
    </comment>
    <comment ref="AF125" authorId="2" shapeId="0" xr:uid="{E8C5A187-1173-4C1B-9BB6-7E332080A6C6}">
      <text>
        <r>
          <rPr>
            <b/>
            <sz val="9"/>
            <rFont val="Tahoma"/>
            <family val="2"/>
          </rPr>
          <t>Canalyst (RZ):</t>
        </r>
        <r>
          <rPr>
            <sz val="9"/>
            <rFont val="Tahoma"/>
            <family val="2"/>
          </rPr>
          <t xml:space="preserve">
Formula adjusted</t>
        </r>
      </text>
    </comment>
    <comment ref="AF140" authorId="3" shapeId="0" xr:uid="{D3F9D37F-C04C-4C57-BE56-773A31101714}">
      <text>
        <r>
          <rPr>
            <b/>
            <sz val="9"/>
            <rFont val="Tahoma"/>
            <family val="2"/>
          </rPr>
          <t>Canalyst (LX):</t>
        </r>
        <r>
          <rPr>
            <sz val="9"/>
            <rFont val="Tahoma"/>
            <family val="2"/>
          </rPr>
          <t xml:space="preserve">
Estimated based on reported %</t>
        </r>
      </text>
    </comment>
    <comment ref="AQ140" authorId="7" shapeId="0" xr:uid="{93542771-9D9D-46C6-B721-880AD27DD2B3}">
      <text>
        <r>
          <rPr>
            <b/>
            <sz val="9"/>
            <rFont val="Tahoma"/>
            <family val="2"/>
          </rPr>
          <t>Canalyst (AZ):</t>
        </r>
        <r>
          <rPr>
            <sz val="9"/>
            <rFont val="Tahoma"/>
            <family val="2"/>
          </rPr>
          <t xml:space="preserve">
Calculated. Only percentage reported. Reported as 14%. Full breakdown not reported.</t>
        </r>
      </text>
    </comment>
    <comment ref="AR140" authorId="7" shapeId="0" xr:uid="{984C1B9D-AD7F-4B65-82BD-E14742D9EEB3}">
      <text>
        <r>
          <rPr>
            <b/>
            <sz val="9"/>
            <rFont val="Tahoma"/>
            <family val="2"/>
          </rPr>
          <t>Canalyst (JeL):</t>
        </r>
        <r>
          <rPr>
            <sz val="9"/>
            <rFont val="Tahoma"/>
            <family val="2"/>
          </rPr>
          <t xml:space="preserve">
Calculated. Only percentage reported. Reported as 13%. Full breakdown not reported.</t>
        </r>
      </text>
    </comment>
    <comment ref="AS140" authorId="7" shapeId="0" xr:uid="{4A50FC92-106B-4C20-AF96-44C411FEC5AF}">
      <text>
        <r>
          <rPr>
            <b/>
            <sz val="9"/>
            <rFont val="Tahoma"/>
            <family val="2"/>
          </rPr>
          <t>Canalyst (TK):</t>
        </r>
        <r>
          <rPr>
            <sz val="9"/>
            <rFont val="Tahoma"/>
            <family val="2"/>
          </rPr>
          <t xml:space="preserve">
Calculated. Only percentage reported. Reported as 11%. Full breakdown not reported.</t>
        </r>
      </text>
    </comment>
    <comment ref="AU140" authorId="7" shapeId="0" xr:uid="{4DD573C6-9133-42FD-8939-FA141E6878E2}">
      <text>
        <r>
          <rPr>
            <b/>
            <sz val="9"/>
            <rFont val="Tahoma"/>
            <family val="2"/>
          </rPr>
          <t>Canalyst (RZ):</t>
        </r>
        <r>
          <rPr>
            <sz val="9"/>
            <rFont val="Tahoma"/>
            <family val="2"/>
          </rPr>
          <t xml:space="preserve">
Calculated. Only percentage reported. Reported as 6%. Full breakdown not reported.</t>
        </r>
      </text>
    </comment>
    <comment ref="AV140" authorId="7" shapeId="0" xr:uid="{A94867E9-A9C3-4352-A18D-601E8555504F}">
      <text>
        <r>
          <rPr>
            <b/>
            <sz val="9"/>
            <rFont val="Tahoma"/>
            <family val="2"/>
          </rPr>
          <t>Canalyst (EM):</t>
        </r>
        <r>
          <rPr>
            <sz val="9"/>
            <rFont val="Tahoma"/>
            <family val="2"/>
          </rPr>
          <t xml:space="preserve">
Calculated. Only percentage reported. Reported as 18%. Full breakdown not reported.</t>
        </r>
      </text>
    </comment>
    <comment ref="AW140" authorId="7" shapeId="0" xr:uid="{2EAC5C6A-12BE-4287-A257-81A6E5B0924D}">
      <text>
        <r>
          <rPr>
            <b/>
            <sz val="9"/>
            <rFont val="Tahoma"/>
            <family val="2"/>
          </rPr>
          <t>Canalyst (RZ):</t>
        </r>
        <r>
          <rPr>
            <sz val="9"/>
            <rFont val="Tahoma"/>
            <family val="2"/>
          </rPr>
          <t xml:space="preserve">
Calculated. Only percentage reported. Reported as 20%. Full breakdown not reported.</t>
        </r>
      </text>
    </comment>
    <comment ref="AQ141" authorId="7" shapeId="0" xr:uid="{F0543FF2-CEEA-479B-BC59-A09BEF028DB0}">
      <text>
        <r>
          <rPr>
            <b/>
            <sz val="9"/>
            <rFont val="Tahoma"/>
            <family val="2"/>
          </rPr>
          <t>Canalyst (AZ):</t>
        </r>
        <r>
          <rPr>
            <sz val="9"/>
            <rFont val="Tahoma"/>
            <family val="2"/>
          </rPr>
          <t xml:space="preserve">
Backed out, but reported as 4%</t>
        </r>
      </text>
    </comment>
    <comment ref="AR141" authorId="7" shapeId="0" xr:uid="{F5A90106-FBB6-4377-BA12-326F3ED68ACA}">
      <text>
        <r>
          <rPr>
            <b/>
            <sz val="9"/>
            <rFont val="Tahoma"/>
            <family val="2"/>
          </rPr>
          <t>Canalyst (JeL):</t>
        </r>
        <r>
          <rPr>
            <sz val="9"/>
            <rFont val="Tahoma"/>
            <family val="2"/>
          </rPr>
          <t xml:space="preserve">
Backed out, but reported as 7%</t>
        </r>
      </text>
    </comment>
    <comment ref="AS141" authorId="7" shapeId="0" xr:uid="{5ED3EE41-3854-43D6-B2A0-4C8D2DDD9F9E}">
      <text>
        <r>
          <rPr>
            <b/>
            <sz val="9"/>
            <rFont val="Tahoma"/>
            <family val="2"/>
          </rPr>
          <t>Canalyst (TK):</t>
        </r>
        <r>
          <rPr>
            <sz val="9"/>
            <rFont val="Tahoma"/>
            <family val="2"/>
          </rPr>
          <t xml:space="preserve">
Backed out, but reported as 7%</t>
        </r>
      </text>
    </comment>
    <comment ref="AU141" authorId="7" shapeId="0" xr:uid="{0AF0FDBE-BEB5-48B5-8D03-EAC79BDA40EF}">
      <text>
        <r>
          <rPr>
            <b/>
            <sz val="9"/>
            <rFont val="Tahoma"/>
            <family val="2"/>
          </rPr>
          <t>Canalyst (RZ):</t>
        </r>
        <r>
          <rPr>
            <sz val="9"/>
            <rFont val="Tahoma"/>
            <family val="2"/>
          </rPr>
          <t xml:space="preserve">
Backed out, but reported as 7%</t>
        </r>
      </text>
    </comment>
    <comment ref="AV141" authorId="7" shapeId="0" xr:uid="{0E2BC276-C0C6-4C3C-844F-F0F192EE3B46}">
      <text>
        <r>
          <rPr>
            <b/>
            <sz val="9"/>
            <rFont val="Tahoma"/>
            <family val="2"/>
          </rPr>
          <t>Canalyst (EM):</t>
        </r>
        <r>
          <rPr>
            <sz val="9"/>
            <rFont val="Tahoma"/>
            <family val="2"/>
          </rPr>
          <t xml:space="preserve">
Backed out, but reported as 7%</t>
        </r>
      </text>
    </comment>
    <comment ref="AW141" authorId="7" shapeId="0" xr:uid="{D73B38FC-0E32-4B23-9D65-B0B094F3C73F}">
      <text>
        <r>
          <rPr>
            <b/>
            <sz val="9"/>
            <rFont val="Tahoma"/>
            <family val="2"/>
          </rPr>
          <t>Canalyst (RZ):</t>
        </r>
        <r>
          <rPr>
            <sz val="9"/>
            <rFont val="Tahoma"/>
            <family val="2"/>
          </rPr>
          <t xml:space="preserve">
Backed out, but reported as 6%</t>
        </r>
      </text>
    </comment>
    <comment ref="AQ144" authorId="7" shapeId="0" xr:uid="{E3A5C16B-8176-4B16-AF21-3B19C88B0DC1}">
      <text>
        <r>
          <rPr>
            <b/>
            <sz val="9"/>
            <rFont val="Tahoma"/>
            <family val="2"/>
          </rPr>
          <t>Canalyst (AZ):</t>
        </r>
        <r>
          <rPr>
            <sz val="9"/>
            <rFont val="Tahoma"/>
            <family val="2"/>
          </rPr>
          <t xml:space="preserve">
Reported in PR and rounded to no decimal places. Hardcoded as reported as breakdown not provided.</t>
        </r>
      </text>
    </comment>
    <comment ref="AR144" authorId="7" shapeId="0" xr:uid="{F371B74C-D9D3-420E-A68C-D0CA8C3077F8}">
      <text>
        <r>
          <rPr>
            <b/>
            <sz val="9"/>
            <rFont val="Tahoma"/>
            <family val="2"/>
          </rPr>
          <t>Canalyst (JeL):</t>
        </r>
        <r>
          <rPr>
            <sz val="9"/>
            <rFont val="Tahoma"/>
            <family val="2"/>
          </rPr>
          <t xml:space="preserve">
Reported in Vehicle Production &amp; Deliveries PR and rounded to no decimal places. Hardcoded as reported as breakdown not provided.</t>
        </r>
      </text>
    </comment>
    <comment ref="AS144" authorId="7" shapeId="0" xr:uid="{0A0FA9EE-AFF3-4799-8944-2E8178658559}">
      <text>
        <r>
          <rPr>
            <b/>
            <sz val="9"/>
            <rFont val="Tahoma"/>
            <family val="2"/>
          </rPr>
          <t>Canalyst (TK):</t>
        </r>
        <r>
          <rPr>
            <sz val="9"/>
            <rFont val="Tahoma"/>
            <family val="2"/>
          </rPr>
          <t xml:space="preserve">
Reported in Vehicle Production &amp; Deliveries PR and rounded to no decimal places. Hardcoded as reported as breakdown not provided.</t>
        </r>
      </text>
    </comment>
    <comment ref="AU144" authorId="7" shapeId="0" xr:uid="{A3D04EF5-DAE2-47CA-9B52-420C096E8E31}">
      <text>
        <r>
          <rPr>
            <b/>
            <sz val="9"/>
            <rFont val="Tahoma"/>
            <family val="2"/>
          </rPr>
          <t>Canalyst (RZ):</t>
        </r>
        <r>
          <rPr>
            <sz val="9"/>
            <rFont val="Tahoma"/>
            <family val="2"/>
          </rPr>
          <t xml:space="preserve">
Reported in Vehicle Production &amp; Deliveries PR and rounded to no decimal places. Hardcoded as reported as breakdown not provided.</t>
        </r>
      </text>
    </comment>
    <comment ref="AV144" authorId="7" shapeId="0" xr:uid="{5DF3D911-CC9B-476A-B7CD-FA7F3B899AFB}">
      <text>
        <r>
          <rPr>
            <b/>
            <sz val="9"/>
            <rFont val="Tahoma"/>
            <family val="2"/>
          </rPr>
          <t>Canalyst (EM):</t>
        </r>
        <r>
          <rPr>
            <sz val="9"/>
            <rFont val="Tahoma"/>
            <family val="2"/>
          </rPr>
          <t xml:space="preserve">
Reported in Vehicle Production &amp; Deliveries PR and rounded to no decimal places. Hardcoded as reported as breakdown not provided.</t>
        </r>
      </text>
    </comment>
    <comment ref="AW144" authorId="7" shapeId="0" xr:uid="{F824F72E-C138-49C9-A1AE-5F647289E226}">
      <text>
        <r>
          <rPr>
            <b/>
            <sz val="9"/>
            <rFont val="Tahoma"/>
            <family val="2"/>
          </rPr>
          <t>Canalyst (RZ):</t>
        </r>
        <r>
          <rPr>
            <sz val="9"/>
            <rFont val="Tahoma"/>
            <family val="2"/>
          </rPr>
          <t xml:space="preserve">
Reported in Vehicle Production &amp; Deliveries PR and rounded to no decimal places. Hardcoded as reported as breakdown not provided.</t>
        </r>
      </text>
    </comment>
    <comment ref="AQ145" authorId="7" shapeId="0" xr:uid="{49151523-99B9-4BEF-A6C1-F72ED01F1B88}">
      <text>
        <r>
          <rPr>
            <b/>
            <sz val="9"/>
            <rFont val="Tahoma"/>
            <family val="2"/>
          </rPr>
          <t>Canalyst (AZ):</t>
        </r>
        <r>
          <rPr>
            <sz val="9"/>
            <rFont val="Tahoma"/>
            <family val="2"/>
          </rPr>
          <t xml:space="preserve">
Calculated from backed out value, as breakdown is not reported this quarter, but the % subject to lease accounting is reported in PR as 4%.</t>
        </r>
      </text>
    </comment>
    <comment ref="AR145" authorId="7" shapeId="0" xr:uid="{1E7C2D65-2B05-48E1-B4DF-A47BD32336C5}">
      <text>
        <r>
          <rPr>
            <b/>
            <sz val="9"/>
            <rFont val="Tahoma"/>
            <family val="2"/>
          </rPr>
          <t>Canalyst (JeL):</t>
        </r>
        <r>
          <rPr>
            <sz val="9"/>
            <rFont val="Tahoma"/>
            <family val="2"/>
          </rPr>
          <t xml:space="preserve">
Calculated from backed out value, as breakdown is not reported this quarter, but the % subject to lease accounting is reported in Vehicle Production &amp; Deliveries PR as 7%.</t>
        </r>
      </text>
    </comment>
    <comment ref="AS145" authorId="7" shapeId="0" xr:uid="{20116DB0-2CB7-42C3-B965-F8ECA98B14DB}">
      <text>
        <r>
          <rPr>
            <b/>
            <sz val="9"/>
            <rFont val="Tahoma"/>
            <family val="2"/>
          </rPr>
          <t>Canalyst (TK):</t>
        </r>
        <r>
          <rPr>
            <sz val="9"/>
            <rFont val="Tahoma"/>
            <family val="2"/>
          </rPr>
          <t xml:space="preserve">
Calculated from backed out value, as breakdown is not reported this quarter, but the % subject to lease accounting is reported in Vehicle Production &amp; Deliveries PR as 7%.</t>
        </r>
      </text>
    </comment>
    <comment ref="AU145" authorId="7" shapeId="0" xr:uid="{F078797E-2323-4023-B64D-B7B3A6B089D3}">
      <text>
        <r>
          <rPr>
            <b/>
            <sz val="9"/>
            <rFont val="Tahoma"/>
            <family val="2"/>
          </rPr>
          <t>Canalyst (TK):</t>
        </r>
        <r>
          <rPr>
            <sz val="9"/>
            <rFont val="Tahoma"/>
            <family val="2"/>
          </rPr>
          <t xml:space="preserve">
Calculated from backed out value, as breakdown is not reported this quarter, but the % subject to lease accounting is reported in Vehicle Production &amp; Deliveries PR as 7%.</t>
        </r>
      </text>
    </comment>
    <comment ref="AV145" authorId="7" shapeId="0" xr:uid="{B31894F5-FDE0-4DC5-9512-3A813D7FFEBD}">
      <text>
        <r>
          <rPr>
            <b/>
            <sz val="9"/>
            <rFont val="Tahoma"/>
            <family val="2"/>
          </rPr>
          <t>Canalyst (EM):</t>
        </r>
        <r>
          <rPr>
            <sz val="9"/>
            <rFont val="Tahoma"/>
            <family val="2"/>
          </rPr>
          <t xml:space="preserve">
Calculated from backed out value, as breakdown is not reported this quarter, but the % subject to lease accounting is reported in Vehicle Production &amp; Deliveries PR as 7%.</t>
        </r>
      </text>
    </comment>
    <comment ref="AF146" authorId="3" shapeId="0" xr:uid="{5BCA8729-DB5A-4538-91FE-E8B46E3791E3}">
      <text>
        <r>
          <rPr>
            <b/>
            <sz val="9"/>
            <rFont val="Tahoma"/>
            <family val="2"/>
          </rPr>
          <t>Canalyst (LX):</t>
        </r>
        <r>
          <rPr>
            <sz val="9"/>
            <rFont val="Tahoma"/>
            <family val="2"/>
          </rPr>
          <t xml:space="preserve">
Hardcoded as reported</t>
        </r>
      </text>
    </comment>
    <comment ref="AX171" authorId="2" shapeId="0" xr:uid="{82CA8B60-EA6C-40DF-BFD6-D407C066CC8D}">
      <text>
        <r>
          <rPr>
            <b/>
            <sz val="9"/>
            <rFont val="Tahoma"/>
            <family val="2"/>
          </rPr>
          <t>Canalyst (RZ):</t>
        </r>
        <r>
          <rPr>
            <sz val="9"/>
            <rFont val="Tahoma"/>
            <family val="2"/>
          </rPr>
          <t xml:space="preserve">
Dummy line; model forecasts directly to automotive gross profit.</t>
        </r>
      </text>
    </comment>
    <comment ref="AZ171" authorId="2" shapeId="0" xr:uid="{1B43A114-D419-44BB-B968-E431016F954F}">
      <text>
        <r>
          <rPr>
            <b/>
            <sz val="9"/>
            <rFont val="Tahoma"/>
            <family val="2"/>
          </rPr>
          <t>Canalyst (RZ):</t>
        </r>
        <r>
          <rPr>
            <sz val="9"/>
            <rFont val="Tahoma"/>
            <family val="2"/>
          </rPr>
          <t xml:space="preserve">
Dummy line; model forecasts directly to automotive gross profit.</t>
        </r>
      </text>
    </comment>
    <comment ref="BA171" authorId="2" shapeId="0" xr:uid="{D37663EA-7BA0-4163-B0A3-B67A9AE6C771}">
      <text>
        <r>
          <rPr>
            <b/>
            <sz val="9"/>
            <rFont val="Tahoma"/>
            <family val="2"/>
          </rPr>
          <t>Canalyst (RZ):</t>
        </r>
        <r>
          <rPr>
            <sz val="9"/>
            <rFont val="Tahoma"/>
            <family val="2"/>
          </rPr>
          <t xml:space="preserve">
Dummy line; model forecasts directly to automotive gross profit.</t>
        </r>
      </text>
    </comment>
    <comment ref="BB171" authorId="2" shapeId="0" xr:uid="{5DA24B0B-07DA-43DD-86B7-CD2704B9847A}">
      <text>
        <r>
          <rPr>
            <b/>
            <sz val="9"/>
            <rFont val="Tahoma"/>
            <family val="2"/>
          </rPr>
          <t>Canalyst (RZ):</t>
        </r>
        <r>
          <rPr>
            <sz val="9"/>
            <rFont val="Tahoma"/>
            <family val="2"/>
          </rPr>
          <t xml:space="preserve">
Dummy line; model forecasts directly to automotive gross profit.</t>
        </r>
      </text>
    </comment>
    <comment ref="BC171" authorId="2" shapeId="0" xr:uid="{B4B9EBE7-955E-4093-8AB7-42F5E3E02AA1}">
      <text>
        <r>
          <rPr>
            <b/>
            <sz val="9"/>
            <rFont val="Tahoma"/>
            <family val="2"/>
          </rPr>
          <t>Canalyst (RZ):</t>
        </r>
        <r>
          <rPr>
            <sz val="9"/>
            <rFont val="Tahoma"/>
            <family val="2"/>
          </rPr>
          <t xml:space="preserve">
Dummy line; model forecasts directly to automotive gross profit.</t>
        </r>
      </text>
    </comment>
    <comment ref="BE171" authorId="2" shapeId="0" xr:uid="{B070BFC0-9AB8-4ACB-B8C6-4EDC6AB320A5}">
      <text>
        <r>
          <rPr>
            <b/>
            <sz val="9"/>
            <rFont val="Tahoma"/>
            <family val="2"/>
          </rPr>
          <t>Canalyst (RZ):</t>
        </r>
        <r>
          <rPr>
            <sz val="9"/>
            <rFont val="Tahoma"/>
            <family val="2"/>
          </rPr>
          <t xml:space="preserve">
Dummy line; model forecasts directly to automotive gross profit.</t>
        </r>
      </text>
    </comment>
    <comment ref="BF171" authorId="2" shapeId="0" xr:uid="{2E996DAA-F0B6-40BA-8F5D-C3930193FE67}">
      <text>
        <r>
          <rPr>
            <b/>
            <sz val="9"/>
            <rFont val="Tahoma"/>
            <family val="2"/>
          </rPr>
          <t>Canalyst (RZ):</t>
        </r>
        <r>
          <rPr>
            <sz val="9"/>
            <rFont val="Tahoma"/>
            <family val="2"/>
          </rPr>
          <t xml:space="preserve">
Dummy line; model forecasts directly to automotive gross profit.</t>
        </r>
      </text>
    </comment>
    <comment ref="BG171" authorId="2" shapeId="0" xr:uid="{6506106E-0D04-45AE-94D8-C3C5AA116540}">
      <text>
        <r>
          <rPr>
            <b/>
            <sz val="9"/>
            <rFont val="Tahoma"/>
            <family val="2"/>
          </rPr>
          <t>Canalyst (RZ):</t>
        </r>
        <r>
          <rPr>
            <sz val="9"/>
            <rFont val="Tahoma"/>
            <family val="2"/>
          </rPr>
          <t xml:space="preserve">
Dummy line; model forecasts directly to automotive gross profit.</t>
        </r>
      </text>
    </comment>
    <comment ref="A186" authorId="2" shapeId="0" xr:uid="{54F4C10B-AC3C-480C-B782-8025492D8406}">
      <text>
        <r>
          <rPr>
            <b/>
            <sz val="9"/>
            <rFont val="Tahoma"/>
            <family val="2"/>
          </rPr>
          <t>Canalyst (RZ):</t>
        </r>
        <r>
          <rPr>
            <sz val="9"/>
            <rFont val="Tahoma"/>
            <family val="2"/>
          </rPr>
          <t xml:space="preserve">
Services and other revenue consists of non-warranty after-sales vehicle services, sales of used vehicles, retail merchandise, sales by our acquired subsidiaries to third party customers and vehicle insurance revenue.</t>
        </r>
      </text>
    </comment>
    <comment ref="AF214" authorId="2" shapeId="0" xr:uid="{FB012311-0928-4DB7-838E-F1D6650833B4}">
      <text>
        <r>
          <rPr>
            <b/>
            <sz val="9"/>
            <rFont val="Tahoma"/>
            <family val="2"/>
          </rPr>
          <t>Canalyst (RZ):</t>
        </r>
        <r>
          <rPr>
            <sz val="9"/>
            <rFont val="Tahoma"/>
            <family val="2"/>
          </rPr>
          <t xml:space="preserve">
Formula adjusted since this period</t>
        </r>
      </text>
    </comment>
    <comment ref="AO221" authorId="7" shapeId="0" xr:uid="{5B5D6DBD-11FB-41FE-A9F6-947BF3E265C7}">
      <text>
        <r>
          <rPr>
            <b/>
            <sz val="9"/>
            <rFont val="Tahoma"/>
            <family val="2"/>
            <charset val="1"/>
          </rPr>
          <t>Canalyst (AZ):</t>
        </r>
        <r>
          <rPr>
            <sz val="9"/>
            <rFont val="Tahoma"/>
            <family val="2"/>
            <charset val="1"/>
          </rPr>
          <t xml:space="preserve">
No longer reported. Historically reported in presentation. Not reported in 10K or PR.</t>
        </r>
      </text>
    </comment>
    <comment ref="A227" authorId="4" shapeId="0" xr:uid="{00000000-0006-0000-0100-000003000000}">
      <text>
        <r>
          <rPr>
            <b/>
            <sz val="9"/>
            <rFont val="Tahoma"/>
            <family val="2"/>
          </rPr>
          <t>Canalyst (JK):</t>
        </r>
        <r>
          <rPr>
            <sz val="9"/>
            <rFont val="Tahoma"/>
            <family val="2"/>
          </rPr>
          <t xml:space="preserve">
Formerly Solar City segment</t>
        </r>
      </text>
    </comment>
    <comment ref="A238" authorId="4" shapeId="0" xr:uid="{00000000-0006-0000-0100-000004000000}">
      <text>
        <r>
          <rPr>
            <b/>
            <sz val="9"/>
            <rFont val="Tahoma"/>
            <family val="2"/>
          </rPr>
          <t>Canalyst (JK):</t>
        </r>
        <r>
          <rPr>
            <sz val="9"/>
            <rFont val="Tahoma"/>
            <family val="2"/>
          </rPr>
          <t xml:space="preserve">
Formerly Solar City segment</t>
        </r>
      </text>
    </comment>
    <comment ref="A244" authorId="4" shapeId="0" xr:uid="{637FE209-5067-4B6D-87FB-ADECBDEA2FE6}">
      <text>
        <r>
          <rPr>
            <b/>
            <sz val="9"/>
            <rFont val="Tahoma"/>
            <family val="2"/>
          </rPr>
          <t>Canalyst (JK):</t>
        </r>
        <r>
          <rPr>
            <sz val="9"/>
            <rFont val="Tahoma"/>
            <family val="2"/>
          </rPr>
          <t xml:space="preserve">
Formerly Solar City segment</t>
        </r>
      </text>
    </comment>
    <comment ref="AX296" authorId="2" shapeId="0" xr:uid="{C5D296CD-5CDC-4782-AD45-C3EF3B84A9AE}">
      <text>
        <r>
          <rPr>
            <b/>
            <sz val="9"/>
            <rFont val="Tahoma"/>
            <family val="2"/>
          </rPr>
          <t>Canalyst (RZ):</t>
        </r>
        <r>
          <rPr>
            <sz val="9"/>
            <rFont val="Tahoma"/>
            <family val="2"/>
          </rPr>
          <t xml:space="preserve">
Dummy line, model forecasts gross profit incl. D&amp;A</t>
        </r>
      </text>
    </comment>
    <comment ref="AZ296" authorId="2" shapeId="0" xr:uid="{D8B1EC06-ACC5-48F6-829B-689A35F98943}">
      <text>
        <r>
          <rPr>
            <b/>
            <sz val="9"/>
            <rFont val="Tahoma"/>
            <family val="2"/>
          </rPr>
          <t>Canalyst (RZ):</t>
        </r>
        <r>
          <rPr>
            <sz val="9"/>
            <rFont val="Tahoma"/>
            <family val="2"/>
          </rPr>
          <t xml:space="preserve">
Dummy line, model forecasts gross profit incl. D&amp;A</t>
        </r>
      </text>
    </comment>
    <comment ref="BA296" authorId="2" shapeId="0" xr:uid="{3B40B2A8-058E-4F01-95C7-FF243C83ABB5}">
      <text>
        <r>
          <rPr>
            <b/>
            <sz val="9"/>
            <rFont val="Tahoma"/>
            <family val="2"/>
          </rPr>
          <t>Canalyst (RZ):</t>
        </r>
        <r>
          <rPr>
            <sz val="9"/>
            <rFont val="Tahoma"/>
            <family val="2"/>
          </rPr>
          <t xml:space="preserve">
Dummy line, model forecasts gross profit incl. D&amp;A</t>
        </r>
      </text>
    </comment>
    <comment ref="BB296" authorId="2" shapeId="0" xr:uid="{FF39E39A-21D4-4478-A3A8-28F85F3857A9}">
      <text>
        <r>
          <rPr>
            <b/>
            <sz val="9"/>
            <rFont val="Tahoma"/>
            <family val="2"/>
          </rPr>
          <t>Canalyst (RZ):</t>
        </r>
        <r>
          <rPr>
            <sz val="9"/>
            <rFont val="Tahoma"/>
            <family val="2"/>
          </rPr>
          <t xml:space="preserve">
Dummy line, model forecasts gross profit incl. D&amp;A</t>
        </r>
      </text>
    </comment>
    <comment ref="BC296" authorId="2" shapeId="0" xr:uid="{50CA3029-FBC6-4A9E-BB9B-E77B3F22D004}">
      <text>
        <r>
          <rPr>
            <b/>
            <sz val="9"/>
            <rFont val="Tahoma"/>
            <family val="2"/>
          </rPr>
          <t>Canalyst (RZ):</t>
        </r>
        <r>
          <rPr>
            <sz val="9"/>
            <rFont val="Tahoma"/>
            <family val="2"/>
          </rPr>
          <t xml:space="preserve">
Dummy line, model forecasts gross profit incl. D&amp;A</t>
        </r>
      </text>
    </comment>
    <comment ref="BE296" authorId="2" shapeId="0" xr:uid="{FB25456C-44B2-4ECA-B68A-F9E78014D1DE}">
      <text>
        <r>
          <rPr>
            <b/>
            <sz val="9"/>
            <rFont val="Tahoma"/>
            <family val="2"/>
          </rPr>
          <t>Canalyst (RZ):</t>
        </r>
        <r>
          <rPr>
            <sz val="9"/>
            <rFont val="Tahoma"/>
            <family val="2"/>
          </rPr>
          <t xml:space="preserve">
Dummy line, model forecasts gross profit incl. D&amp;A</t>
        </r>
      </text>
    </comment>
    <comment ref="BF296" authorId="2" shapeId="0" xr:uid="{068E3C68-AE41-4A4D-977A-F82B114BC570}">
      <text>
        <r>
          <rPr>
            <b/>
            <sz val="9"/>
            <rFont val="Tahoma"/>
            <family val="2"/>
          </rPr>
          <t>Canalyst (RZ):</t>
        </r>
        <r>
          <rPr>
            <sz val="9"/>
            <rFont val="Tahoma"/>
            <family val="2"/>
          </rPr>
          <t xml:space="preserve">
Dummy line, model forecasts gross profit incl. D&amp;A</t>
        </r>
      </text>
    </comment>
    <comment ref="BG296" authorId="2" shapeId="0" xr:uid="{CCDAEC4F-CC92-4D46-8DF0-7E6C036B4533}">
      <text>
        <r>
          <rPr>
            <b/>
            <sz val="9"/>
            <rFont val="Tahoma"/>
            <family val="2"/>
          </rPr>
          <t>Canalyst (RZ):</t>
        </r>
        <r>
          <rPr>
            <sz val="9"/>
            <rFont val="Tahoma"/>
            <family val="2"/>
          </rPr>
          <t xml:space="preserve">
Dummy line, model forecasts gross profit incl. D&amp;A</t>
        </r>
      </text>
    </comment>
    <comment ref="AX297" authorId="2" shapeId="0" xr:uid="{6D4FFE91-2439-47CE-A035-6CBB93D4C748}">
      <text>
        <r>
          <rPr>
            <b/>
            <sz val="9"/>
            <rFont val="Tahoma"/>
            <family val="2"/>
          </rPr>
          <t>Canalyst (RZ):</t>
        </r>
        <r>
          <rPr>
            <sz val="9"/>
            <rFont val="Tahoma"/>
            <family val="2"/>
          </rPr>
          <t xml:space="preserve">
Dummy line, model forecasts gross profit incl. D&amp;A</t>
        </r>
      </text>
    </comment>
    <comment ref="AZ297" authorId="2" shapeId="0" xr:uid="{4E9808F1-76AA-419D-BDC7-23E4F9B31A2F}">
      <text>
        <r>
          <rPr>
            <b/>
            <sz val="9"/>
            <rFont val="Tahoma"/>
            <family val="2"/>
          </rPr>
          <t>Canalyst (RZ):</t>
        </r>
        <r>
          <rPr>
            <sz val="9"/>
            <rFont val="Tahoma"/>
            <family val="2"/>
          </rPr>
          <t xml:space="preserve">
Dummy line, model forecasts gross profit incl. D&amp;A</t>
        </r>
      </text>
    </comment>
    <comment ref="BA297" authorId="2" shapeId="0" xr:uid="{04F6792F-56F3-42F7-B366-D2E7DC98A50C}">
      <text>
        <r>
          <rPr>
            <b/>
            <sz val="9"/>
            <rFont val="Tahoma"/>
            <family val="2"/>
          </rPr>
          <t>Canalyst (RZ):</t>
        </r>
        <r>
          <rPr>
            <sz val="9"/>
            <rFont val="Tahoma"/>
            <family val="2"/>
          </rPr>
          <t xml:space="preserve">
Dummy line, model forecasts gross profit incl. D&amp;A</t>
        </r>
      </text>
    </comment>
    <comment ref="BB297" authorId="2" shapeId="0" xr:uid="{A39E016A-DAD9-414D-9BC4-A28914097BF7}">
      <text>
        <r>
          <rPr>
            <b/>
            <sz val="9"/>
            <rFont val="Tahoma"/>
            <family val="2"/>
          </rPr>
          <t>Canalyst (RZ):</t>
        </r>
        <r>
          <rPr>
            <sz val="9"/>
            <rFont val="Tahoma"/>
            <family val="2"/>
          </rPr>
          <t xml:space="preserve">
Dummy line, model forecasts gross profit incl. D&amp;A</t>
        </r>
      </text>
    </comment>
    <comment ref="BC297" authorId="2" shapeId="0" xr:uid="{950459F8-ADB2-4ECB-8269-87C4BF61FFA9}">
      <text>
        <r>
          <rPr>
            <b/>
            <sz val="9"/>
            <rFont val="Tahoma"/>
            <family val="2"/>
          </rPr>
          <t>Canalyst (RZ):</t>
        </r>
        <r>
          <rPr>
            <sz val="9"/>
            <rFont val="Tahoma"/>
            <family val="2"/>
          </rPr>
          <t xml:space="preserve">
Dummy line, model forecasts gross profit incl. D&amp;A</t>
        </r>
      </text>
    </comment>
    <comment ref="BE297" authorId="2" shapeId="0" xr:uid="{A690044F-AC08-4BFF-8603-58F9575DEE52}">
      <text>
        <r>
          <rPr>
            <b/>
            <sz val="9"/>
            <rFont val="Tahoma"/>
            <family val="2"/>
          </rPr>
          <t>Canalyst (RZ):</t>
        </r>
        <r>
          <rPr>
            <sz val="9"/>
            <rFont val="Tahoma"/>
            <family val="2"/>
          </rPr>
          <t xml:space="preserve">
Dummy line, model forecasts gross profit incl. D&amp;A</t>
        </r>
      </text>
    </comment>
    <comment ref="BF297" authorId="2" shapeId="0" xr:uid="{293FD512-C076-4B69-97E0-34261C2B53F5}">
      <text>
        <r>
          <rPr>
            <b/>
            <sz val="9"/>
            <rFont val="Tahoma"/>
            <family val="2"/>
          </rPr>
          <t>Canalyst (RZ):</t>
        </r>
        <r>
          <rPr>
            <sz val="9"/>
            <rFont val="Tahoma"/>
            <family val="2"/>
          </rPr>
          <t xml:space="preserve">
Dummy line, model forecasts gross profit incl. D&amp;A</t>
        </r>
      </text>
    </comment>
    <comment ref="BG297" authorId="2" shapeId="0" xr:uid="{BF1DC8FB-A870-443A-9767-6AA9F4ECB90C}">
      <text>
        <r>
          <rPr>
            <b/>
            <sz val="9"/>
            <rFont val="Tahoma"/>
            <family val="2"/>
          </rPr>
          <t>Canalyst (RZ):</t>
        </r>
        <r>
          <rPr>
            <sz val="9"/>
            <rFont val="Tahoma"/>
            <family val="2"/>
          </rPr>
          <t xml:space="preserve">
Dummy line, model forecasts gross profit incl. D&amp;A</t>
        </r>
      </text>
    </comment>
    <comment ref="AQ301" authorId="3" shapeId="0" xr:uid="{7148BE9A-5EA0-4B1A-99FF-100B74E5EAC0}">
      <text>
        <r>
          <rPr>
            <b/>
            <sz val="9"/>
            <rFont val="Tahoma"/>
            <family val="2"/>
          </rPr>
          <t>Canalyst (LX):</t>
        </r>
        <r>
          <rPr>
            <sz val="9"/>
            <rFont val="Tahoma"/>
            <family val="2"/>
          </rPr>
          <t xml:space="preserve">
Now includes body shops</t>
        </r>
      </text>
    </comment>
    <comment ref="AQ302" authorId="2" shapeId="0" xr:uid="{30FDEAF0-0DDB-46F1-ABB1-F807F5D3D680}">
      <text>
        <r>
          <rPr>
            <b/>
            <sz val="9"/>
            <rFont val="Tahoma"/>
            <family val="2"/>
          </rPr>
          <t>Canalyst (RZ):</t>
        </r>
        <r>
          <rPr>
            <sz val="9"/>
            <rFont val="Tahoma"/>
            <family val="2"/>
          </rPr>
          <t xml:space="preserve">
In Q2 2021, we began including mobile service vehicles dedicated to tire repair in our mobile service fleet total. Prior period totals have been adjusted to reflect this change.</t>
        </r>
      </text>
    </comment>
    <comment ref="AR302" authorId="2" shapeId="0" xr:uid="{59790D21-D747-45E9-8797-4EF30857D2C4}">
      <text>
        <r>
          <rPr>
            <b/>
            <sz val="9"/>
            <rFont val="Tahoma"/>
            <family val="2"/>
          </rPr>
          <t>Canalyst (RZ):</t>
        </r>
        <r>
          <rPr>
            <sz val="9"/>
            <rFont val="Tahoma"/>
            <family val="2"/>
          </rPr>
          <t xml:space="preserve">
In Q2 2021, we began including mobile service vehicles dedicated to tire repair in our mobile service fleet total. Prior period totals have been adjusted to reflect this change.</t>
        </r>
      </text>
    </comment>
    <comment ref="AS302" authorId="2" shapeId="0" xr:uid="{3B340D3C-1E83-4228-A7FC-A2EF0775E98D}">
      <text>
        <r>
          <rPr>
            <b/>
            <sz val="9"/>
            <rFont val="Tahoma"/>
            <family val="2"/>
          </rPr>
          <t>Canalyst (RZ):</t>
        </r>
        <r>
          <rPr>
            <sz val="9"/>
            <rFont val="Tahoma"/>
            <family val="2"/>
          </rPr>
          <t xml:space="preserve">
In Q2 2021, we began including mobile service vehicles dedicated to tire repair in our mobile service fleet total. Prior period totals have been adjusted to reflect this change.</t>
        </r>
      </text>
    </comment>
    <comment ref="AT302" authorId="2" shapeId="0" xr:uid="{B9591846-F2EE-4C13-8918-6D5382A59488}">
      <text>
        <r>
          <rPr>
            <b/>
            <sz val="9"/>
            <rFont val="Tahoma"/>
            <family val="2"/>
          </rPr>
          <t>Canalyst (RZ):</t>
        </r>
        <r>
          <rPr>
            <sz val="9"/>
            <rFont val="Tahoma"/>
            <family val="2"/>
          </rPr>
          <t xml:space="preserve">
In Q2 2021, we began including mobile service vehicles dedicated to tire repair in our mobile service fleet total. Prior period totals have been adjusted to reflect this change.</t>
        </r>
      </text>
    </comment>
    <comment ref="AU302" authorId="2" shapeId="0" xr:uid="{63030AEF-68B0-4F89-B2DA-9813FA4CA28C}">
      <text>
        <r>
          <rPr>
            <b/>
            <sz val="9"/>
            <rFont val="Tahoma"/>
            <family val="2"/>
          </rPr>
          <t>Canalyst (RZ):</t>
        </r>
        <r>
          <rPr>
            <sz val="9"/>
            <rFont val="Tahoma"/>
            <family val="2"/>
          </rPr>
          <t xml:space="preserve">
In Q2 2021, we began including mobile service vehicles dedicated to tire repair in our mobile service fleet total. Prior period totals have been adjusted to reflect this change.</t>
        </r>
      </text>
    </comment>
    <comment ref="AV302" authorId="2" shapeId="0" xr:uid="{4398312A-232B-4644-BFAA-401E84EF7E87}">
      <text>
        <r>
          <rPr>
            <b/>
            <sz val="9"/>
            <rFont val="Tahoma"/>
            <family val="2"/>
          </rPr>
          <t>Canalyst (RZ):</t>
        </r>
        <r>
          <rPr>
            <sz val="9"/>
            <rFont val="Tahoma"/>
            <family val="2"/>
          </rPr>
          <t xml:space="preserve">
In Q2 2021, we began including mobile service vehicles dedicated to tire repair in our mobile service fleet total. Prior period totals have been adjusted to reflect this change.</t>
        </r>
      </text>
    </comment>
    <comment ref="AO306" authorId="7" shapeId="0" xr:uid="{117B631D-EBFC-463A-8212-24CAD85769C8}">
      <text>
        <r>
          <rPr>
            <b/>
            <sz val="9"/>
            <rFont val="Tahoma"/>
            <family val="2"/>
            <charset val="1"/>
          </rPr>
          <t>Canalyst (AZ):</t>
        </r>
        <r>
          <rPr>
            <sz val="9"/>
            <rFont val="Tahoma"/>
            <family val="2"/>
            <charset val="1"/>
          </rPr>
          <t xml:space="preserve">
No longer reported. Historically reported in presentation. Not reported in 10K or PR.</t>
        </r>
      </text>
    </comment>
    <comment ref="M358" authorId="0" shapeId="0" xr:uid="{00000000-0006-0000-0100-000016000000}">
      <text>
        <r>
          <rPr>
            <b/>
            <sz val="9"/>
            <rFont val="Tahoma"/>
            <family val="2"/>
          </rPr>
          <t>Canalyst (JH):</t>
        </r>
        <r>
          <rPr>
            <sz val="9"/>
            <rFont val="Tahoma"/>
            <family val="2"/>
          </rPr>
          <t xml:space="preserve">
rounding error as reported</t>
        </r>
      </text>
    </comment>
    <comment ref="N358" authorId="0" shapeId="0" xr:uid="{00000000-0006-0000-0100-000017000000}">
      <text>
        <r>
          <rPr>
            <b/>
            <sz val="9"/>
            <rFont val="Tahoma"/>
            <family val="2"/>
          </rPr>
          <t>Canalyst (JH):</t>
        </r>
        <r>
          <rPr>
            <sz val="9"/>
            <rFont val="Tahoma"/>
            <family val="2"/>
          </rPr>
          <t xml:space="preserve">
rounding error as reported</t>
        </r>
      </text>
    </comment>
    <comment ref="AM358" authorId="3" shapeId="0" xr:uid="{713E91C9-5854-4E12-909E-D9966A08B52F}">
      <text>
        <r>
          <rPr>
            <b/>
            <sz val="9"/>
            <rFont val="Tahoma"/>
            <family val="2"/>
          </rPr>
          <t>Canalyst (LX):</t>
        </r>
        <r>
          <rPr>
            <sz val="9"/>
            <rFont val="Tahoma"/>
            <family val="2"/>
          </rPr>
          <t xml:space="preserve">
Rounding difference due to the fact that everything is reported with whole numbers in PR.</t>
        </r>
      </text>
    </comment>
    <comment ref="AN358" authorId="3" shapeId="0" xr:uid="{2075566B-AFEE-4FFD-9B74-77F8B0A671E3}">
      <text>
        <r>
          <rPr>
            <b/>
            <sz val="9"/>
            <rFont val="Tahoma"/>
            <family val="2"/>
          </rPr>
          <t>Canalyst (LX):</t>
        </r>
        <r>
          <rPr>
            <sz val="9"/>
            <rFont val="Tahoma"/>
            <family val="2"/>
          </rPr>
          <t xml:space="preserve">
Rounding difference due to the fact that everything is reported with whole numbers in PR.</t>
        </r>
      </text>
    </comment>
    <comment ref="AL371" authorId="3" shapeId="0" xr:uid="{C5941A44-A5F0-47ED-9249-5E29C00B875F}">
      <text>
        <r>
          <rPr>
            <b/>
            <sz val="9"/>
            <rFont val="Tahoma"/>
            <family val="2"/>
          </rPr>
          <t>Canalyst (RE):</t>
        </r>
        <r>
          <rPr>
            <sz val="9"/>
            <rFont val="Tahoma"/>
            <family val="2"/>
          </rPr>
          <t xml:space="preserve">
Not reported</t>
        </r>
      </text>
    </comment>
    <comment ref="AK376" authorId="0" shapeId="0" xr:uid="{080CC0ED-C54C-4C40-82AF-0BDD9FB6B901}">
      <text>
        <r>
          <rPr>
            <b/>
            <sz val="9"/>
            <rFont val="Tahoma"/>
            <family val="2"/>
          </rPr>
          <t>Canalyst (JH):</t>
        </r>
        <r>
          <rPr>
            <sz val="9"/>
            <rFont val="Tahoma"/>
            <family val="2"/>
          </rPr>
          <t xml:space="preserve">
During the three months ended March 31, 2019, the company
increased net loss attributable to common stockholders by $7.6 million to arrive at the numerator used to calculate net loss per share. This adjustment represents the difference between the cash they paid to a financing fund investor for their noncontrolling interest in one of Tesla's subsidiaries and the carrying
amount of the noncontrolling interest on their consolidated balance sheet, in accordance with ASC 260, Earnings per Share.</t>
        </r>
      </text>
    </comment>
    <comment ref="AO376" authorId="7" shapeId="0" xr:uid="{A8F14974-328C-41D9-B502-D745AC18DECC}">
      <text>
        <r>
          <rPr>
            <b/>
            <sz val="9"/>
            <rFont val="Tahoma"/>
            <family val="2"/>
            <charset val="1"/>
          </rPr>
          <t>Canalyst (AZ):</t>
        </r>
        <r>
          <rPr>
            <sz val="9"/>
            <rFont val="Tahoma"/>
            <family val="2"/>
            <charset val="1"/>
          </rPr>
          <t xml:space="preserve">
During the year ended December 31, 2019, we increased net loss attributable to common stockholders by $8 million to arrive at the numerator used to calculate net loss per share. This adjustment represents the difference between the cash we paid to a financing fund investor for their noncontrolling interest in one of our subsidiaries and the carrying amount of the noncontrolling interest on our consolidated balance sheet, in accordance with ASC 260, Earnings per Share.</t>
        </r>
      </text>
    </comment>
    <comment ref="C387" authorId="0" shapeId="0" xr:uid="{00000000-0006-0000-0100-000018000000}">
      <text>
        <r>
          <rPr>
            <b/>
            <sz val="9"/>
            <rFont val="Tahoma"/>
            <family val="2"/>
          </rPr>
          <t>Canalyst (JH):</t>
        </r>
        <r>
          <rPr>
            <sz val="9"/>
            <rFont val="Tahoma"/>
            <family val="2"/>
          </rPr>
          <t xml:space="preserve">
SBC is entirely backed out from SG&amp;A for this quarter since breakdown is not yet provided</t>
        </r>
      </text>
    </comment>
    <comment ref="AK411" authorId="0" shapeId="0" xr:uid="{4462AE3B-5BA0-4C1A-BF5F-CF9D1DC9FECF}">
      <text>
        <r>
          <rPr>
            <b/>
            <sz val="9"/>
            <rFont val="Tahoma"/>
            <family val="2"/>
          </rPr>
          <t>Canalyst (JH):</t>
        </r>
        <r>
          <rPr>
            <sz val="9"/>
            <rFont val="Tahoma"/>
            <family val="2"/>
          </rPr>
          <t xml:space="preserve">
During the three months ended March 31, 2019, the company
increased net loss attributable to common stockholders by $7.6 million to arrive at the numerator used to calculate net loss per share. This adjustment represents the difference between the cash they paid to a financing fund investor for their noncontrolling interest in one of Tesla's subsidiaries and the carrying
amount of the noncontrolling interest on their consolidated balance sheet, in accordance with ASC 260, Earnings per Share.</t>
        </r>
      </text>
    </comment>
    <comment ref="F424" authorId="8" shapeId="0" xr:uid="{00000000-0006-0000-0100-000019000000}">
      <text>
        <r>
          <rPr>
            <b/>
            <sz val="9"/>
            <rFont val="Tahoma"/>
            <family val="2"/>
          </rPr>
          <t>Canalyst (JP):</t>
        </r>
        <r>
          <rPr>
            <sz val="9"/>
            <rFont val="Tahoma"/>
            <family val="2"/>
          </rPr>
          <t xml:space="preserve">
Rounding error. Reported as $(3.20) before stock split</t>
        </r>
      </text>
    </comment>
    <comment ref="W424" authorId="8" shapeId="0" xr:uid="{00000000-0006-0000-0100-00001A000000}">
      <text>
        <r>
          <rPr>
            <b/>
            <sz val="9"/>
            <rFont val="Tahoma"/>
            <family val="2"/>
          </rPr>
          <t>Canalyst (JP):</t>
        </r>
        <r>
          <rPr>
            <sz val="9"/>
            <rFont val="Tahoma"/>
            <family val="2"/>
          </rPr>
          <t xml:space="preserve">
Rounding error. Reported as $(1.06) before stock split</t>
        </r>
      </text>
    </comment>
    <comment ref="AD424" authorId="9" shapeId="0" xr:uid="{00000000-0006-0000-0100-00001B000000}">
      <text>
        <r>
          <rPr>
            <b/>
            <sz val="9"/>
            <rFont val="Tahoma"/>
            <family val="2"/>
          </rPr>
          <t>Canalyst (ML):</t>
        </r>
        <r>
          <rPr>
            <sz val="9"/>
            <rFont val="Tahoma"/>
            <family val="2"/>
          </rPr>
          <t xml:space="preserve">
Reported as $(3.04) before stock split, rounding error.</t>
        </r>
      </text>
    </comment>
    <comment ref="AE424" authorId="9" shapeId="0" xr:uid="{00000000-0006-0000-0100-00001C000000}">
      <text>
        <r>
          <rPr>
            <b/>
            <sz val="9"/>
            <rFont val="Tahoma"/>
            <family val="2"/>
          </rPr>
          <t>Canalyst (ML):</t>
        </r>
        <r>
          <rPr>
            <sz val="9"/>
            <rFont val="Tahoma"/>
            <family val="2"/>
          </rPr>
          <t xml:space="preserve">
Reported as $(8.66) before stock split, rounding error.</t>
        </r>
      </text>
    </comment>
    <comment ref="AM424" authorId="3" shapeId="0" xr:uid="{24653F42-56DF-4E9D-B833-392C24B217CA}">
      <text>
        <r>
          <rPr>
            <b/>
            <sz val="9"/>
            <rFont val="Tahoma"/>
            <family val="2"/>
          </rPr>
          <t>Canalyst (LX):</t>
        </r>
        <r>
          <rPr>
            <sz val="9"/>
            <rFont val="Tahoma"/>
            <family val="2"/>
          </rPr>
          <t xml:space="preserve">
Reported as 1.91 before stock split</t>
        </r>
      </text>
    </comment>
    <comment ref="AP424" authorId="7" shapeId="0" xr:uid="{F7529384-0495-4918-9735-A79CF66DF5CE}">
      <text>
        <r>
          <rPr>
            <b/>
            <sz val="9"/>
            <rFont val="Tahoma"/>
            <family val="2"/>
          </rPr>
          <t>Canalyst (AZ):</t>
        </r>
        <r>
          <rPr>
            <sz val="9"/>
            <rFont val="Tahoma"/>
            <family val="2"/>
          </rPr>
          <t xml:space="preserve">
The company reports Non-gaap net income per share, basic as 1.24. They do not report non-gaap net income per share, diluted.</t>
        </r>
      </text>
    </comment>
    <comment ref="AR427" authorId="3" shapeId="0" xr:uid="{D5C246DB-2A94-468B-B53C-20A52B7D7610}">
      <text>
        <r>
          <rPr>
            <b/>
            <sz val="9"/>
            <rFont val="Tahoma"/>
            <family val="2"/>
            <charset val="1"/>
          </rPr>
          <t>Canalyst (LX):</t>
        </r>
        <r>
          <rPr>
            <sz val="9"/>
            <rFont val="Tahoma"/>
            <family val="2"/>
            <charset val="1"/>
          </rPr>
          <t xml:space="preserve">
After a 5-1 stock split. Historical share counts have been adjusted for this.</t>
        </r>
      </text>
    </comment>
    <comment ref="AR428" authorId="3" shapeId="0" xr:uid="{9B906CF9-5673-41A3-9296-5B52E99B9DF2}">
      <text>
        <r>
          <rPr>
            <b/>
            <sz val="9"/>
            <rFont val="Tahoma"/>
            <family val="2"/>
            <charset val="1"/>
          </rPr>
          <t>Canalyst (LX):</t>
        </r>
        <r>
          <rPr>
            <sz val="9"/>
            <rFont val="Tahoma"/>
            <family val="2"/>
            <charset val="1"/>
          </rPr>
          <t xml:space="preserve">
After a 5-1 stock split. Historical share counts have been adjusted for this.</t>
        </r>
      </text>
    </comment>
    <comment ref="AR429" authorId="3" shapeId="0" xr:uid="{33C976E2-A557-4BEC-8EBB-3B9B8997D6BA}">
      <text>
        <r>
          <rPr>
            <b/>
            <sz val="9"/>
            <rFont val="Tahoma"/>
            <family val="2"/>
            <charset val="1"/>
          </rPr>
          <t>Canalyst (LX):</t>
        </r>
        <r>
          <rPr>
            <sz val="9"/>
            <rFont val="Tahoma"/>
            <family val="2"/>
            <charset val="1"/>
          </rPr>
          <t xml:space="preserve">
After a 5-1 stock split. Historical share counts have been adjusted for this.</t>
        </r>
      </text>
    </comment>
    <comment ref="AL437" authorId="3" shapeId="0" xr:uid="{7F98E9D2-36AA-4CB8-9B7B-AD07F25FF758}">
      <text>
        <r>
          <rPr>
            <b/>
            <sz val="9"/>
            <rFont val="Tahoma"/>
            <family val="2"/>
          </rPr>
          <t>Canalyst (LX):</t>
        </r>
        <r>
          <rPr>
            <sz val="9"/>
            <rFont val="Tahoma"/>
            <family val="2"/>
          </rPr>
          <t xml:space="preserve">
Net of cash</t>
        </r>
      </text>
    </comment>
    <comment ref="A439" authorId="10" shapeId="0" xr:uid="{1982D80F-F81F-4F42-980A-9CC915578E79}">
      <text>
        <r>
          <rPr>
            <b/>
            <sz val="9"/>
            <rFont val="Tahoma"/>
            <family val="2"/>
          </rPr>
          <t>Canalyst (TK):</t>
        </r>
        <r>
          <rPr>
            <sz val="9"/>
            <rFont val="Tahoma"/>
            <family val="2"/>
          </rPr>
          <t xml:space="preserve">
Includes distributions paid to NCI</t>
        </r>
      </text>
    </comment>
    <comment ref="AC500" authorId="10" shapeId="0" xr:uid="{CEF15F36-DAD5-4AA8-930F-D949E31337A4}">
      <text>
        <r>
          <rPr>
            <b/>
            <sz val="9"/>
            <rFont val="Tahoma"/>
            <family val="2"/>
          </rPr>
          <t>Canalyst (TK):</t>
        </r>
        <r>
          <rPr>
            <sz val="9"/>
            <rFont val="Tahoma"/>
            <family val="2"/>
          </rPr>
          <t xml:space="preserve">
Includes debt issuance costs starting in this period, previously included in other non-cash activities</t>
        </r>
      </text>
    </comment>
    <comment ref="AV503" authorId="11" shapeId="0" xr:uid="{1D7C283D-E761-4F94-A1A4-61DD9B649710}">
      <text>
        <r>
          <rPr>
            <b/>
            <sz val="9"/>
            <rFont val="Tahoma"/>
            <family val="2"/>
          </rPr>
          <t>Canalyst (EM):</t>
        </r>
        <r>
          <rPr>
            <sz val="9"/>
            <rFont val="Tahoma"/>
            <family val="2"/>
          </rPr>
          <t xml:space="preserve">
Full breakdown not provided.</t>
        </r>
      </text>
    </comment>
    <comment ref="AA514" authorId="2" shapeId="0" xr:uid="{5B38973A-0F85-4B28-A971-A81687C2E323}">
      <text>
        <r>
          <rPr>
            <b/>
            <sz val="9"/>
            <rFont val="Tahoma"/>
            <family val="2"/>
          </rPr>
          <t>Canalyst (RZ):</t>
        </r>
        <r>
          <rPr>
            <sz val="9"/>
            <rFont val="Tahoma"/>
            <family val="2"/>
          </rPr>
          <t xml:space="preserve">
Formula adjusted as company starts to report breakdown</t>
        </r>
      </text>
    </comment>
    <comment ref="AP518" authorId="10" shapeId="0" xr:uid="{B3CB50CB-37B3-4E56-B3E2-D1325F468F36}">
      <text>
        <r>
          <rPr>
            <b/>
            <sz val="9"/>
            <rFont val="Tahoma"/>
            <family val="2"/>
          </rPr>
          <t>Canalyst (TK):</t>
        </r>
        <r>
          <rPr>
            <sz val="9"/>
            <rFont val="Tahoma"/>
            <family val="2"/>
          </rPr>
          <t xml:space="preserve">
Includes changes in resale value guarantees and certain other long-term liabilities starting in this period</t>
        </r>
      </text>
    </comment>
    <comment ref="AP523" authorId="10" shapeId="0" xr:uid="{CF7A7398-4F26-47CD-AAC3-F4E763E2E638}">
      <text>
        <r>
          <rPr>
            <b/>
            <sz val="9"/>
            <rFont val="Tahoma"/>
            <family val="2"/>
          </rPr>
          <t>Canalyst (TK):</t>
        </r>
        <r>
          <rPr>
            <sz val="9"/>
            <rFont val="Tahoma"/>
            <family val="2"/>
          </rPr>
          <t xml:space="preserve">
Reclassified to changes in accounts payable and accrued liabilities starting this period</t>
        </r>
      </text>
    </comment>
    <comment ref="AP524" authorId="10" shapeId="0" xr:uid="{7999DCA8-5A3F-4350-817F-3A165025FC68}">
      <text>
        <r>
          <rPr>
            <b/>
            <sz val="9"/>
            <rFont val="Tahoma"/>
            <family val="2"/>
          </rPr>
          <t>Canalyst (TK):</t>
        </r>
        <r>
          <rPr>
            <sz val="9"/>
            <rFont val="Tahoma"/>
            <family val="2"/>
          </rPr>
          <t xml:space="preserve">
Certain items in this line were reclassified to accounts payable and accrued liabilities this period</t>
        </r>
      </text>
    </comment>
    <comment ref="AF576" authorId="3" shapeId="0" xr:uid="{00000000-0006-0000-0100-00001D000000}">
      <text>
        <r>
          <rPr>
            <b/>
            <sz val="9"/>
            <rFont val="Tahoma"/>
            <family val="2"/>
          </rPr>
          <t>Canalyst (LX):</t>
        </r>
        <r>
          <rPr>
            <sz val="9"/>
            <rFont val="Tahoma"/>
            <family val="2"/>
          </rPr>
          <t xml:space="preserve">
Hardcoded to include restricted cash.</t>
        </r>
      </text>
    </comment>
    <comment ref="AM576" authorId="3" shapeId="0" xr:uid="{2039D61C-F88C-42B8-879D-E7E091850704}">
      <text>
        <r>
          <rPr>
            <b/>
            <sz val="9"/>
            <rFont val="Tahoma"/>
            <family val="2"/>
          </rPr>
          <t>Canalyst (LX):</t>
        </r>
        <r>
          <rPr>
            <sz val="9"/>
            <rFont val="Tahoma"/>
            <family val="2"/>
          </rPr>
          <t xml:space="preserve">
Hardcoded as reported.</t>
        </r>
      </text>
    </comment>
    <comment ref="AC590" authorId="10" shapeId="0" xr:uid="{4A2FD5C0-51BC-4E69-838C-6958D2C56F63}">
      <text>
        <r>
          <rPr>
            <b/>
            <sz val="9"/>
            <rFont val="Tahoma"/>
            <family val="2"/>
          </rPr>
          <t>Canalyst (TK):</t>
        </r>
        <r>
          <rPr>
            <sz val="9"/>
            <rFont val="Tahoma"/>
            <family val="2"/>
          </rPr>
          <t xml:space="preserve">
Includes debt issuance costs starting in this period, previously included in other non-cash activities</t>
        </r>
      </text>
    </comment>
    <comment ref="AC592" authorId="10" shapeId="0" xr:uid="{6710BCFB-9631-427E-999D-E57C684CF104}">
      <text>
        <r>
          <rPr>
            <b/>
            <sz val="9"/>
            <rFont val="Tahoma"/>
            <family val="2"/>
          </rPr>
          <t>Canalyst (TK):</t>
        </r>
        <r>
          <rPr>
            <sz val="9"/>
            <rFont val="Tahoma"/>
            <family val="2"/>
          </rPr>
          <t xml:space="preserve">
Excludes debt issuance costs starting this period</t>
        </r>
      </text>
    </comment>
    <comment ref="AV593" authorId="11" shapeId="0" xr:uid="{D279E37F-42A9-4FF4-8DF2-0E6A5CD3C3C3}">
      <text>
        <r>
          <rPr>
            <b/>
            <sz val="9"/>
            <rFont val="Tahoma"/>
            <family val="2"/>
          </rPr>
          <t>Canalyst (EM):</t>
        </r>
        <r>
          <rPr>
            <sz val="9"/>
            <rFont val="Tahoma"/>
            <family val="2"/>
          </rPr>
          <t xml:space="preserve">
Formula adjusted. Full breakdown not provided</t>
        </r>
      </text>
    </comment>
    <comment ref="AY593" authorId="2" shapeId="0" xr:uid="{6995F7F0-A3A6-48DB-9275-6DC2A2092389}">
      <text>
        <r>
          <rPr>
            <b/>
            <sz val="9"/>
            <rFont val="Tahoma"/>
            <family val="2"/>
          </rPr>
          <t>Canalyst (RZ):</t>
        </r>
        <r>
          <rPr>
            <sz val="9"/>
            <rFont val="Tahoma"/>
            <family val="2"/>
          </rPr>
          <t xml:space="preserve">
formula adjusted</t>
        </r>
      </text>
    </comment>
    <comment ref="M608" authorId="10" shapeId="0" xr:uid="{111A6594-428F-4254-AFF1-5926DDC2BA48}">
      <text>
        <r>
          <rPr>
            <b/>
            <sz val="9"/>
            <rFont val="Tahoma"/>
            <family val="2"/>
          </rPr>
          <t>Canalyst (TK):</t>
        </r>
        <r>
          <rPr>
            <sz val="9"/>
            <rFont val="Tahoma"/>
            <family val="2"/>
          </rPr>
          <t xml:space="preserve">
Adjusted to include changes in accrued liabilities this period</t>
        </r>
      </text>
    </comment>
    <comment ref="AP608" authorId="10" shapeId="0" xr:uid="{8E824945-F664-4135-92B0-0BB58E7C4015}">
      <text>
        <r>
          <rPr>
            <b/>
            <sz val="9"/>
            <rFont val="Tahoma"/>
            <family val="2"/>
          </rPr>
          <t>Canalyst (TK):</t>
        </r>
        <r>
          <rPr>
            <sz val="9"/>
            <rFont val="Tahoma"/>
            <family val="2"/>
          </rPr>
          <t xml:space="preserve">
Includes changes in resale value guarantees and certain other long-term liabilities starting in this period</t>
        </r>
      </text>
    </comment>
    <comment ref="M609" authorId="10" shapeId="0" xr:uid="{25064F5B-2D01-466F-9457-32A123F2C25E}">
      <text>
        <r>
          <rPr>
            <b/>
            <sz val="9"/>
            <rFont val="Tahoma"/>
            <family val="2"/>
          </rPr>
          <t>Canalyst (TK):</t>
        </r>
        <r>
          <rPr>
            <sz val="9"/>
            <rFont val="Tahoma"/>
            <family val="2"/>
          </rPr>
          <t xml:space="preserve">
Combined with accounts payable starting in this period</t>
        </r>
      </text>
    </comment>
    <comment ref="AP613" authorId="10" shapeId="0" xr:uid="{F43B2D82-91B4-4B5A-AF73-5A263F5BD618}">
      <text>
        <r>
          <rPr>
            <b/>
            <sz val="9"/>
            <rFont val="Tahoma"/>
            <family val="2"/>
          </rPr>
          <t>Canalyst (TK):</t>
        </r>
        <r>
          <rPr>
            <sz val="9"/>
            <rFont val="Tahoma"/>
            <family val="2"/>
          </rPr>
          <t xml:space="preserve">
Reclassified to changes in accounts payable and accrued liabilities starting this period</t>
        </r>
      </text>
    </comment>
    <comment ref="AP614" authorId="10" shapeId="0" xr:uid="{A9299DAC-0191-4206-A887-E3C99BE7D5BF}">
      <text>
        <r>
          <rPr>
            <b/>
            <sz val="9"/>
            <rFont val="Tahoma"/>
            <family val="2"/>
          </rPr>
          <t>Canalyst (TK):</t>
        </r>
        <r>
          <rPr>
            <sz val="9"/>
            <rFont val="Tahoma"/>
            <family val="2"/>
          </rPr>
          <t xml:space="preserve">
Certain items in this line were reclassified to accounts payable and accrued liabilities this period</t>
        </r>
      </text>
    </comment>
    <comment ref="AF666" authorId="3" shapeId="0" xr:uid="{00000000-0006-0000-0100-00001E000000}">
      <text>
        <r>
          <rPr>
            <b/>
            <sz val="9"/>
            <rFont val="Tahoma"/>
            <family val="2"/>
          </rPr>
          <t>Canalyst (LX):</t>
        </r>
        <r>
          <rPr>
            <sz val="9"/>
            <rFont val="Tahoma"/>
            <family val="2"/>
          </rPr>
          <t xml:space="preserve">
Hardcoded to include restricted cash.</t>
        </r>
      </text>
    </comment>
    <comment ref="AM667" authorId="7" shapeId="0" xr:uid="{AE044B00-98FC-4E21-AA14-EBAC125A5258}">
      <text>
        <r>
          <rPr>
            <b/>
            <sz val="9"/>
            <rFont val="Tahoma"/>
            <family val="2"/>
            <charset val="1"/>
          </rPr>
          <t>Canalyst (AZ):</t>
        </r>
        <r>
          <rPr>
            <sz val="9"/>
            <rFont val="Tahoma"/>
            <family val="2"/>
            <charset val="1"/>
          </rPr>
          <t xml:space="preserve">
Hardcoded as reported. Q3 was reported with no decimal places. Previously financial statements were reported to 1 decimal place, hence producing rounding errors.</t>
        </r>
      </text>
    </comment>
    <comment ref="AF672" authorId="12" shapeId="0" xr:uid="{00000000-0006-0000-0100-00001F000000}">
      <text>
        <r>
          <rPr>
            <b/>
            <sz val="9"/>
            <rFont val="Tahoma"/>
            <family val="2"/>
          </rPr>
          <t>Canalyst (AlD):</t>
        </r>
        <r>
          <rPr>
            <sz val="9"/>
            <rFont val="Tahoma"/>
            <family val="2"/>
          </rPr>
          <t xml:space="preserve">
adjusted to include restricted cash</t>
        </r>
      </text>
    </comment>
    <comment ref="AX704" authorId="2" shapeId="0" xr:uid="{327C7706-8A7A-4EE1-8FFC-A0699FBF34CC}">
      <text>
        <r>
          <rPr>
            <b/>
            <sz val="9"/>
            <rFont val="Tahoma"/>
            <family val="2"/>
          </rPr>
          <t>Canalyst (RZ):</t>
        </r>
        <r>
          <rPr>
            <sz val="9"/>
            <rFont val="Tahoma"/>
            <family val="2"/>
          </rPr>
          <t xml:space="preserve">
Dummy line, model forecasts gross profit incl. D&amp;A</t>
        </r>
      </text>
    </comment>
    <comment ref="AZ704" authorId="2" shapeId="0" xr:uid="{D2D7111D-44F5-4CBD-A794-F62AA8DE7673}">
      <text>
        <r>
          <rPr>
            <b/>
            <sz val="9"/>
            <rFont val="Tahoma"/>
            <family val="2"/>
          </rPr>
          <t>Canalyst (RZ):</t>
        </r>
        <r>
          <rPr>
            <sz val="9"/>
            <rFont val="Tahoma"/>
            <family val="2"/>
          </rPr>
          <t xml:space="preserve">
Dummy line, model forecasts gross profit incl. D&amp;A</t>
        </r>
      </text>
    </comment>
    <comment ref="BA704" authorId="2" shapeId="0" xr:uid="{A7496475-79DB-42D0-920A-A484F885C67A}">
      <text>
        <r>
          <rPr>
            <b/>
            <sz val="9"/>
            <rFont val="Tahoma"/>
            <family val="2"/>
          </rPr>
          <t>Canalyst (RZ):</t>
        </r>
        <r>
          <rPr>
            <sz val="9"/>
            <rFont val="Tahoma"/>
            <family val="2"/>
          </rPr>
          <t xml:space="preserve">
Dummy line, model forecasts gross profit incl. D&amp;A</t>
        </r>
      </text>
    </comment>
    <comment ref="BB704" authorId="2" shapeId="0" xr:uid="{45357F3F-F683-4610-B22C-1FC9D348F838}">
      <text>
        <r>
          <rPr>
            <b/>
            <sz val="9"/>
            <rFont val="Tahoma"/>
            <family val="2"/>
          </rPr>
          <t>Canalyst (RZ):</t>
        </r>
        <r>
          <rPr>
            <sz val="9"/>
            <rFont val="Tahoma"/>
            <family val="2"/>
          </rPr>
          <t xml:space="preserve">
Dummy line, model forecasts gross profit incl. D&amp;A</t>
        </r>
      </text>
    </comment>
    <comment ref="BC704" authorId="2" shapeId="0" xr:uid="{7F209FEF-BAEC-4A2B-AD6A-6F619CB974C5}">
      <text>
        <r>
          <rPr>
            <b/>
            <sz val="9"/>
            <rFont val="Tahoma"/>
            <family val="2"/>
          </rPr>
          <t>Canalyst (RZ):</t>
        </r>
        <r>
          <rPr>
            <sz val="9"/>
            <rFont val="Tahoma"/>
            <family val="2"/>
          </rPr>
          <t xml:space="preserve">
Dummy line, model forecasts gross profit incl. D&amp;A</t>
        </r>
      </text>
    </comment>
    <comment ref="BE704" authorId="2" shapeId="0" xr:uid="{0B98F79F-5852-4416-8131-5E7B59F218F1}">
      <text>
        <r>
          <rPr>
            <b/>
            <sz val="9"/>
            <rFont val="Tahoma"/>
            <family val="2"/>
          </rPr>
          <t>Canalyst (RZ):</t>
        </r>
        <r>
          <rPr>
            <sz val="9"/>
            <rFont val="Tahoma"/>
            <family val="2"/>
          </rPr>
          <t xml:space="preserve">
Dummy line, model forecasts gross profit incl. D&amp;A</t>
        </r>
      </text>
    </comment>
    <comment ref="BF704" authorId="2" shapeId="0" xr:uid="{0C934873-E821-4267-9E84-51E990460240}">
      <text>
        <r>
          <rPr>
            <b/>
            <sz val="9"/>
            <rFont val="Tahoma"/>
            <family val="2"/>
          </rPr>
          <t>Canalyst (RZ):</t>
        </r>
        <r>
          <rPr>
            <sz val="9"/>
            <rFont val="Tahoma"/>
            <family val="2"/>
          </rPr>
          <t xml:space="preserve">
Dummy line, model forecasts gross profit incl. D&amp;A</t>
        </r>
      </text>
    </comment>
    <comment ref="BG704" authorId="2" shapeId="0" xr:uid="{9B919B33-830D-48D7-A583-0BF6FFAE4FD5}">
      <text>
        <r>
          <rPr>
            <b/>
            <sz val="9"/>
            <rFont val="Tahoma"/>
            <family val="2"/>
          </rPr>
          <t>Canalyst (RZ):</t>
        </r>
        <r>
          <rPr>
            <sz val="9"/>
            <rFont val="Tahoma"/>
            <family val="2"/>
          </rPr>
          <t xml:space="preserve">
Dummy line, model forecasts gross profit incl. D&amp;A</t>
        </r>
      </text>
    </comment>
    <comment ref="AX705" authorId="2" shapeId="0" xr:uid="{5F760A6E-FF05-4EA2-9100-6CE583B4ECEF}">
      <text>
        <r>
          <rPr>
            <b/>
            <sz val="9"/>
            <rFont val="Tahoma"/>
            <family val="2"/>
          </rPr>
          <t>Canalyst (RZ):</t>
        </r>
        <r>
          <rPr>
            <sz val="9"/>
            <rFont val="Tahoma"/>
            <family val="2"/>
          </rPr>
          <t xml:space="preserve">
Dummy line, model forecasts gross profit incl. D&amp;A</t>
        </r>
      </text>
    </comment>
    <comment ref="AZ705" authorId="2" shapeId="0" xr:uid="{A5F3C256-5614-4E9F-B71B-B69A5AD68740}">
      <text>
        <r>
          <rPr>
            <b/>
            <sz val="9"/>
            <rFont val="Tahoma"/>
            <family val="2"/>
          </rPr>
          <t>Canalyst (RZ):</t>
        </r>
        <r>
          <rPr>
            <sz val="9"/>
            <rFont val="Tahoma"/>
            <family val="2"/>
          </rPr>
          <t xml:space="preserve">
Dummy line, model forecasts gross profit incl. D&amp;A</t>
        </r>
      </text>
    </comment>
    <comment ref="BA705" authorId="2" shapeId="0" xr:uid="{71C39D4D-6EA2-4DE7-B1B5-43A1A4BB7467}">
      <text>
        <r>
          <rPr>
            <b/>
            <sz val="9"/>
            <rFont val="Tahoma"/>
            <family val="2"/>
          </rPr>
          <t>Canalyst (RZ):</t>
        </r>
        <r>
          <rPr>
            <sz val="9"/>
            <rFont val="Tahoma"/>
            <family val="2"/>
          </rPr>
          <t xml:space="preserve">
Dummy line, model forecasts gross profit incl. D&amp;A</t>
        </r>
      </text>
    </comment>
    <comment ref="BB705" authorId="2" shapeId="0" xr:uid="{9E526CFD-B341-46E3-96AB-000A0B10B192}">
      <text>
        <r>
          <rPr>
            <b/>
            <sz val="9"/>
            <rFont val="Tahoma"/>
            <family val="2"/>
          </rPr>
          <t>Canalyst (RZ):</t>
        </r>
        <r>
          <rPr>
            <sz val="9"/>
            <rFont val="Tahoma"/>
            <family val="2"/>
          </rPr>
          <t xml:space="preserve">
Dummy line, model forecasts gross profit incl. D&amp;A</t>
        </r>
      </text>
    </comment>
    <comment ref="BC705" authorId="2" shapeId="0" xr:uid="{86082CCD-E14B-40F1-A6DD-AA36EE199B14}">
      <text>
        <r>
          <rPr>
            <b/>
            <sz val="9"/>
            <rFont val="Tahoma"/>
            <family val="2"/>
          </rPr>
          <t>Canalyst (RZ):</t>
        </r>
        <r>
          <rPr>
            <sz val="9"/>
            <rFont val="Tahoma"/>
            <family val="2"/>
          </rPr>
          <t xml:space="preserve">
Dummy line, model forecasts gross profit incl. D&amp;A</t>
        </r>
      </text>
    </comment>
    <comment ref="BE705" authorId="2" shapeId="0" xr:uid="{50863DB3-1F77-447A-B908-E294B991A856}">
      <text>
        <r>
          <rPr>
            <b/>
            <sz val="9"/>
            <rFont val="Tahoma"/>
            <family val="2"/>
          </rPr>
          <t>Canalyst (RZ):</t>
        </r>
        <r>
          <rPr>
            <sz val="9"/>
            <rFont val="Tahoma"/>
            <family val="2"/>
          </rPr>
          <t xml:space="preserve">
Dummy line, model forecasts gross profit incl. D&amp;A</t>
        </r>
      </text>
    </comment>
    <comment ref="BF705" authorId="2" shapeId="0" xr:uid="{B69DF1C4-F1C2-4972-90E2-8A04454A174B}">
      <text>
        <r>
          <rPr>
            <b/>
            <sz val="9"/>
            <rFont val="Tahoma"/>
            <family val="2"/>
          </rPr>
          <t>Canalyst (RZ):</t>
        </r>
        <r>
          <rPr>
            <sz val="9"/>
            <rFont val="Tahoma"/>
            <family val="2"/>
          </rPr>
          <t xml:space="preserve">
Dummy line, model forecasts gross profit incl. D&amp;A</t>
        </r>
      </text>
    </comment>
    <comment ref="BG705" authorId="2" shapeId="0" xr:uid="{854293EE-A046-4588-843B-235F582F8EF5}">
      <text>
        <r>
          <rPr>
            <b/>
            <sz val="9"/>
            <rFont val="Tahoma"/>
            <family val="2"/>
          </rPr>
          <t>Canalyst (RZ):</t>
        </r>
        <r>
          <rPr>
            <sz val="9"/>
            <rFont val="Tahoma"/>
            <family val="2"/>
          </rPr>
          <t xml:space="preserve">
Dummy line, model forecasts gross profit incl. D&amp;A</t>
        </r>
      </text>
    </comment>
    <comment ref="A721" authorId="2" shapeId="0" xr:uid="{03F72C01-C7BB-415C-8C6D-CFB627981911}">
      <text>
        <r>
          <rPr>
            <b/>
            <sz val="9"/>
            <rFont val="Tahoma"/>
            <family val="2"/>
          </rPr>
          <t>Canalyst (RZ):</t>
        </r>
        <r>
          <rPr>
            <sz val="9"/>
            <rFont val="Tahoma"/>
            <family val="2"/>
          </rPr>
          <t xml:space="preserve">
Finished goods inventory includes vehicles in transit to fulfill customer orders, new vehicles available for sale, used vehicles, energy storage products and Solar Roof products available for sale.</t>
        </r>
      </text>
    </comment>
    <comment ref="AX728" authorId="2" shapeId="0" xr:uid="{50950E13-9CCE-45BC-9CCA-711D42A63799}">
      <text>
        <r>
          <rPr>
            <b/>
            <sz val="9"/>
            <rFont val="Tahoma"/>
            <family val="2"/>
          </rPr>
          <t>Canalyst (RZ):</t>
        </r>
        <r>
          <rPr>
            <sz val="9"/>
            <rFont val="Tahoma"/>
            <family val="2"/>
          </rPr>
          <t xml:space="preserve">
Forecasted operating lease vehicles in op stats</t>
        </r>
      </text>
    </comment>
    <comment ref="AZ728" authorId="2" shapeId="0" xr:uid="{65AFF9ED-F3F2-49E3-A95C-62CF2532C9D4}">
      <text>
        <r>
          <rPr>
            <b/>
            <sz val="9"/>
            <rFont val="Tahoma"/>
            <family val="2"/>
          </rPr>
          <t>Canalyst (RZ):</t>
        </r>
        <r>
          <rPr>
            <sz val="9"/>
            <rFont val="Tahoma"/>
            <family val="2"/>
          </rPr>
          <t xml:space="preserve">
Forecasted operating lease vehicles in op stats</t>
        </r>
      </text>
    </comment>
    <comment ref="BA728" authorId="2" shapeId="0" xr:uid="{BCEC1A9C-46CE-4034-889A-33F4CCFA3A81}">
      <text>
        <r>
          <rPr>
            <b/>
            <sz val="9"/>
            <rFont val="Tahoma"/>
            <family val="2"/>
          </rPr>
          <t>Canalyst (RZ):</t>
        </r>
        <r>
          <rPr>
            <sz val="9"/>
            <rFont val="Tahoma"/>
            <family val="2"/>
          </rPr>
          <t xml:space="preserve">
Forecasted operating lease vehicles in op stats</t>
        </r>
      </text>
    </comment>
    <comment ref="BB728" authorId="2" shapeId="0" xr:uid="{AABC4DF5-101D-4A1E-A066-8E9DCE43C469}">
      <text>
        <r>
          <rPr>
            <b/>
            <sz val="9"/>
            <rFont val="Tahoma"/>
            <family val="2"/>
          </rPr>
          <t>Canalyst (RZ):</t>
        </r>
        <r>
          <rPr>
            <sz val="9"/>
            <rFont val="Tahoma"/>
            <family val="2"/>
          </rPr>
          <t xml:space="preserve">
Forecasted operating lease vehicles in op stats</t>
        </r>
      </text>
    </comment>
    <comment ref="BC728" authorId="2" shapeId="0" xr:uid="{A13B4377-DD34-4FD0-8CEB-161AF2878CBF}">
      <text>
        <r>
          <rPr>
            <b/>
            <sz val="9"/>
            <rFont val="Tahoma"/>
            <family val="2"/>
          </rPr>
          <t>Canalyst (RZ):</t>
        </r>
        <r>
          <rPr>
            <sz val="9"/>
            <rFont val="Tahoma"/>
            <family val="2"/>
          </rPr>
          <t xml:space="preserve">
Forecasted operating lease vehicles in op stats</t>
        </r>
      </text>
    </comment>
    <comment ref="BE728" authorId="2" shapeId="0" xr:uid="{93C78828-E285-4336-80A5-9637EAF7EA88}">
      <text>
        <r>
          <rPr>
            <b/>
            <sz val="9"/>
            <rFont val="Tahoma"/>
            <family val="2"/>
          </rPr>
          <t>Canalyst (RZ):</t>
        </r>
        <r>
          <rPr>
            <sz val="9"/>
            <rFont val="Tahoma"/>
            <family val="2"/>
          </rPr>
          <t xml:space="preserve">
Forecasted operating lease vehicles in op stats</t>
        </r>
      </text>
    </comment>
    <comment ref="BF728" authorId="2" shapeId="0" xr:uid="{12502807-80A2-4A54-AB8B-DED4E384A4B7}">
      <text>
        <r>
          <rPr>
            <b/>
            <sz val="9"/>
            <rFont val="Tahoma"/>
            <family val="2"/>
          </rPr>
          <t>Canalyst (RZ):</t>
        </r>
        <r>
          <rPr>
            <sz val="9"/>
            <rFont val="Tahoma"/>
            <family val="2"/>
          </rPr>
          <t xml:space="preserve">
Forecasted operating lease vehicles in op stats</t>
        </r>
      </text>
    </comment>
    <comment ref="BG728" authorId="2" shapeId="0" xr:uid="{3421BBD8-0AEE-49DD-928B-551E47660910}">
      <text>
        <r>
          <rPr>
            <b/>
            <sz val="9"/>
            <rFont val="Tahoma"/>
            <family val="2"/>
          </rPr>
          <t>Canalyst (RZ):</t>
        </r>
        <r>
          <rPr>
            <sz val="9"/>
            <rFont val="Tahoma"/>
            <family val="2"/>
          </rPr>
          <t xml:space="preserve">
Forecasted operating lease vehicles in op stats</t>
        </r>
      </text>
    </comment>
    <comment ref="AP755" authorId="10" shapeId="0" xr:uid="{D0BA8E75-F514-4291-AA4A-5283565CCF0D}">
      <text>
        <r>
          <rPr>
            <b/>
            <sz val="9"/>
            <rFont val="Tahoma"/>
            <family val="2"/>
          </rPr>
          <t>Canalyst (TK):</t>
        </r>
        <r>
          <rPr>
            <sz val="9"/>
            <rFont val="Tahoma"/>
            <family val="2"/>
          </rPr>
          <t xml:space="preserve">
Accrued liabilities and resale value guarantees were reported as a single line item starting in this period</t>
        </r>
      </text>
    </comment>
    <comment ref="AP774" authorId="10" shapeId="0" xr:uid="{35A228B2-B68A-474E-A54F-1EFA3C4BFEF7}">
      <text>
        <r>
          <rPr>
            <b/>
            <sz val="9"/>
            <rFont val="Tahoma"/>
            <family val="2"/>
          </rPr>
          <t>Canalyst (TK):</t>
        </r>
        <r>
          <rPr>
            <sz val="9"/>
            <rFont val="Tahoma"/>
            <family val="2"/>
          </rPr>
          <t xml:space="preserve">
Resale value guarantees and other long-term liabilities were reported as a single line item starting in this period</t>
        </r>
      </text>
    </comment>
    <comment ref="AM793" authorId="3" shapeId="0" xr:uid="{439BB098-17B3-45DA-A198-FE50178D8864}">
      <text>
        <r>
          <rPr>
            <b/>
            <sz val="9"/>
            <rFont val="Tahoma"/>
            <family val="2"/>
          </rPr>
          <t>Canalyst (LX):</t>
        </r>
        <r>
          <rPr>
            <sz val="9"/>
            <rFont val="Tahoma"/>
            <family val="2"/>
          </rPr>
          <t xml:space="preserve">
Rounding difference due to the fact that the company began reporting to the nearest whole number</t>
        </r>
      </text>
    </comment>
    <comment ref="AN793" authorId="3" shapeId="0" xr:uid="{E65389E7-1D00-491E-B5AD-1502B831A16E}">
      <text>
        <r>
          <rPr>
            <b/>
            <sz val="9"/>
            <rFont val="Tahoma"/>
            <family val="2"/>
          </rPr>
          <t>Canalyst (LX):</t>
        </r>
        <r>
          <rPr>
            <sz val="9"/>
            <rFont val="Tahoma"/>
            <family val="2"/>
          </rPr>
          <t xml:space="preserve">
Rounding difference due to the fact that the company began reporting to the nearest whole number</t>
        </r>
      </text>
    </comment>
    <comment ref="P806" authorId="12" shapeId="0" xr:uid="{00000000-0006-0000-0100-000020000000}">
      <text>
        <r>
          <rPr>
            <b/>
            <sz val="9"/>
            <rFont val="Tahoma"/>
            <family val="2"/>
          </rPr>
          <t>Canalyst (AlD):</t>
        </r>
        <r>
          <rPr>
            <sz val="9"/>
            <rFont val="Tahoma"/>
            <family val="2"/>
          </rPr>
          <t xml:space="preserve">
rounding. As reported.</t>
        </r>
      </text>
    </comment>
    <comment ref="Z806" authorId="0" shapeId="0" xr:uid="{00000000-0006-0000-0100-000021000000}">
      <text>
        <r>
          <rPr>
            <b/>
            <sz val="9"/>
            <rFont val="Tahoma"/>
            <family val="2"/>
          </rPr>
          <t>Canalyst (JH):</t>
        </r>
        <r>
          <rPr>
            <sz val="9"/>
            <rFont val="Tahoma"/>
            <family val="2"/>
          </rPr>
          <t xml:space="preserve">
due to Q4 restatement</t>
        </r>
      </text>
    </comment>
    <comment ref="AO806" authorId="3" shapeId="0" xr:uid="{E969338E-0CA6-45E8-A794-30A65E0E2BD6}">
      <text>
        <r>
          <rPr>
            <b/>
            <sz val="9"/>
            <rFont val="Tahoma"/>
            <family val="2"/>
          </rPr>
          <t>Canalyst (LX):</t>
        </r>
        <r>
          <rPr>
            <sz val="9"/>
            <rFont val="Tahoma"/>
            <family val="2"/>
          </rPr>
          <t xml:space="preserve">
Due to the fact that the Company started reporting in whole numbers</t>
        </r>
      </text>
    </comment>
    <comment ref="Y807" authorId="0" shapeId="0" xr:uid="{00000000-0006-0000-0100-000022000000}">
      <text>
        <r>
          <rPr>
            <b/>
            <sz val="9"/>
            <rFont val="Tahoma"/>
            <family val="2"/>
          </rPr>
          <t>Canalyst (JH):</t>
        </r>
        <r>
          <rPr>
            <sz val="9"/>
            <rFont val="Tahoma"/>
            <family val="2"/>
          </rPr>
          <t xml:space="preserve">
positive cash flow from acquisition as reported</t>
        </r>
      </text>
    </comment>
    <comment ref="Z807" authorId="0" shapeId="0" xr:uid="{00000000-0006-0000-0100-000023000000}">
      <text>
        <r>
          <rPr>
            <b/>
            <sz val="9"/>
            <rFont val="Tahoma"/>
            <family val="2"/>
          </rPr>
          <t>Canalyst (JH):</t>
        </r>
        <r>
          <rPr>
            <sz val="9"/>
            <rFont val="Tahoma"/>
            <family val="2"/>
          </rPr>
          <t xml:space="preserve">
positive cash flow from acquisition as reported</t>
        </r>
      </text>
    </comment>
    <comment ref="AL807" authorId="3" shapeId="0" xr:uid="{E6B5CF26-1AFA-49D6-A4BA-1A2BD18F3CCE}">
      <text>
        <r>
          <rPr>
            <b/>
            <sz val="9"/>
            <rFont val="Tahoma"/>
            <family val="2"/>
          </rPr>
          <t>Canalyst (LX):</t>
        </r>
        <r>
          <rPr>
            <sz val="9"/>
            <rFont val="Tahoma"/>
            <family val="2"/>
          </rPr>
          <t xml:space="preserve">
As reported</t>
        </r>
      </text>
    </comment>
    <comment ref="Z809" authorId="0" shapeId="0" xr:uid="{00000000-0006-0000-0100-000024000000}">
      <text>
        <r>
          <rPr>
            <b/>
            <sz val="9"/>
            <rFont val="Tahoma"/>
            <family val="2"/>
          </rPr>
          <t>Canalyst (JH):</t>
        </r>
        <r>
          <rPr>
            <sz val="9"/>
            <rFont val="Tahoma"/>
            <family val="2"/>
          </rPr>
          <t xml:space="preserve">
due to Q4 restatement</t>
        </r>
      </text>
    </comment>
    <comment ref="AO809" authorId="3" shapeId="0" xr:uid="{C4C0FCDC-080D-434C-86A1-B508BE218F2A}">
      <text>
        <r>
          <rPr>
            <b/>
            <sz val="9"/>
            <rFont val="Tahoma"/>
            <family val="2"/>
          </rPr>
          <t>Canalyst (LX):</t>
        </r>
        <r>
          <rPr>
            <sz val="9"/>
            <rFont val="Tahoma"/>
            <family val="2"/>
          </rPr>
          <t xml:space="preserve">
Due to the fact that the Company started reporting in whole numbers</t>
        </r>
      </text>
    </comment>
    <comment ref="AY810" authorId="11" shapeId="0" xr:uid="{E438755F-4D62-4863-8D59-505939F125BC}">
      <text>
        <r>
          <rPr>
            <b/>
            <sz val="9"/>
            <rFont val="Tahoma"/>
            <family val="2"/>
          </rPr>
          <t>Canalyst (EM):</t>
        </r>
        <r>
          <rPr>
            <sz val="9"/>
            <rFont val="Tahoma"/>
            <family val="2"/>
          </rPr>
          <t xml:space="preserve">
Formula adjusted.</t>
        </r>
      </text>
    </comment>
    <comment ref="AE811" authorId="2" shapeId="0" xr:uid="{B4339D42-1388-46F8-A174-B99A0EDB836A}">
      <text>
        <r>
          <rPr>
            <b/>
            <sz val="9"/>
            <rFont val="Tahoma"/>
            <family val="2"/>
          </rPr>
          <t>Canalyst (RZ):</t>
        </r>
        <r>
          <rPr>
            <sz val="9"/>
            <rFont val="Tahoma"/>
            <family val="2"/>
          </rPr>
          <t xml:space="preserve">
Formula adjusted for breakdown of inventories and operating lease vehicles in WC on CFS</t>
        </r>
      </text>
    </comment>
    <comment ref="AJ811" authorId="2" shapeId="0" xr:uid="{33189D3A-491D-44DD-A956-A537C29FA3BA}">
      <text>
        <r>
          <rPr>
            <b/>
            <sz val="9"/>
            <rFont val="Tahoma"/>
            <family val="2"/>
          </rPr>
          <t>Canalyst (RZ):</t>
        </r>
        <r>
          <rPr>
            <sz val="9"/>
            <rFont val="Tahoma"/>
            <family val="2"/>
          </rPr>
          <t xml:space="preserve">
Formula adjusted for breakdown of inventories and operating lease vehicles in WC on CFS</t>
        </r>
      </text>
    </comment>
    <comment ref="AO811" authorId="2" shapeId="0" xr:uid="{B1852D1A-8586-48D1-B685-28EE1227ECA7}">
      <text>
        <r>
          <rPr>
            <b/>
            <sz val="9"/>
            <rFont val="Tahoma"/>
            <family val="2"/>
          </rPr>
          <t>Canalyst (RZ):</t>
        </r>
        <r>
          <rPr>
            <sz val="9"/>
            <rFont val="Tahoma"/>
            <family val="2"/>
          </rPr>
          <t xml:space="preserve">
Formula adjusted for breakdown of inventories and operating lease vehicles in WC on CFS</t>
        </r>
      </text>
    </comment>
    <comment ref="AT811" authorId="2" shapeId="0" xr:uid="{6DA1762E-8938-4389-9F28-4A0DE431530E}">
      <text>
        <r>
          <rPr>
            <b/>
            <sz val="9"/>
            <rFont val="Tahoma"/>
            <family val="2"/>
          </rPr>
          <t>Canalyst (RZ):</t>
        </r>
        <r>
          <rPr>
            <sz val="9"/>
            <rFont val="Tahoma"/>
            <family val="2"/>
          </rPr>
          <t xml:space="preserve">
Formula adjusted for breakdown of inventories and operating lease vehicles in WC on CFS</t>
        </r>
      </text>
    </comment>
    <comment ref="AY811" authorId="2" shapeId="0" xr:uid="{4137C728-DBAA-4861-B104-4A532B0E8100}">
      <text>
        <r>
          <rPr>
            <b/>
            <sz val="9"/>
            <rFont val="Tahoma"/>
            <family val="2"/>
          </rPr>
          <t>Canalyst (RZ):</t>
        </r>
        <r>
          <rPr>
            <sz val="9"/>
            <rFont val="Tahoma"/>
            <family val="2"/>
          </rPr>
          <t xml:space="preserve">
Formula adjusted for breakdown of inventories and operating lease vehicles in WC on CFS</t>
        </r>
      </text>
    </comment>
    <comment ref="BD811" authorId="2" shapeId="0" xr:uid="{0AE52EDE-7590-4598-82B7-89F097B57EC6}">
      <text>
        <r>
          <rPr>
            <b/>
            <sz val="9"/>
            <rFont val="Tahoma"/>
            <family val="2"/>
          </rPr>
          <t>Canalyst (RZ):</t>
        </r>
        <r>
          <rPr>
            <sz val="9"/>
            <rFont val="Tahoma"/>
            <family val="2"/>
          </rPr>
          <t xml:space="preserve">
Formula adjusted for breakdown of inventories and operating lease vehicles in WC on CFS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Canalyst (AZ)</author>
    <author>Canalyst (LX)</author>
    <author>Canalyst (YF)</author>
    <author>Canalyst</author>
    <author>Canalyst (DC)</author>
    <author>Canalyst (JH)</author>
    <author>Canalyst (JK)</author>
  </authors>
  <commentList>
    <comment ref="H7" authorId="0" shapeId="0" xr:uid="{F2AC2262-900B-43F2-9647-4A21ABEAF3EA}">
      <text>
        <r>
          <rPr>
            <b/>
            <sz val="9"/>
            <rFont val="Tahoma"/>
            <family val="2"/>
          </rPr>
          <t>Canalyst (AZ):</t>
        </r>
        <r>
          <rPr>
            <sz val="9"/>
            <rFont val="Tahoma"/>
            <family val="2"/>
          </rPr>
          <t xml:space="preserve">
Q1 EOP reported as $24,602. Currently Q2 BOP reported as $24,601. Small rounding error. Needs to flow through so that Q4 calculation is accurate.</t>
        </r>
      </text>
    </comment>
    <comment ref="I7" authorId="0" shapeId="0" xr:uid="{9598BDA2-324B-4068-96CD-30EE99477529}">
      <text>
        <r>
          <rPr>
            <b/>
            <sz val="9"/>
            <rFont val="Tahoma"/>
            <family val="2"/>
          </rPr>
          <t>Canalyst (AZ):</t>
        </r>
        <r>
          <rPr>
            <sz val="9"/>
            <rFont val="Tahoma"/>
            <family val="2"/>
          </rPr>
          <t xml:space="preserve">
Q2 EOP reported as $36,878. Currently Q3 BOP reported as $36,877. Small rounding error. Needs to flow through so that Q4 calculation is accurate.</t>
        </r>
      </text>
    </comment>
    <comment ref="AM7" authorId="1" shapeId="0" xr:uid="{0B0F5B18-CFEC-40B3-852B-C7CC0FEB85F7}">
      <text>
        <r>
          <rPr>
            <b/>
            <sz val="9"/>
            <rFont val="Tahoma"/>
            <family val="2"/>
            <charset val="1"/>
          </rPr>
          <t>Canalyst (LX):</t>
        </r>
        <r>
          <rPr>
            <sz val="9"/>
            <rFont val="Tahoma"/>
            <family val="2"/>
            <charset val="1"/>
          </rPr>
          <t xml:space="preserve">
Hardcoded since the Company started reporting in whole numbers.</t>
        </r>
      </text>
    </comment>
    <comment ref="AN13" authorId="0" shapeId="0" xr:uid="{1DB48AB8-C9BE-4F24-9BA6-E08F111D3190}">
      <text>
        <r>
          <rPr>
            <b/>
            <sz val="9"/>
            <rFont val="Tahoma"/>
            <family val="2"/>
            <charset val="1"/>
          </rPr>
          <t>Canalyst (AZ):</t>
        </r>
        <r>
          <rPr>
            <sz val="9"/>
            <rFont val="Tahoma"/>
            <family val="2"/>
            <charset val="1"/>
          </rPr>
          <t xml:space="preserve">
Does not match due to the company's shift to report numbers to 1 decimal place. Reported as 1089.</t>
        </r>
      </text>
    </comment>
    <comment ref="A32" authorId="2" shapeId="0" xr:uid="{36486D47-5567-4D0A-8E09-3E49DE6826F7}">
      <text>
        <r>
          <rPr>
            <b/>
            <sz val="9"/>
            <rFont val="Tahoma"/>
            <family val="2"/>
          </rPr>
          <t>Canalyst (YF):</t>
        </r>
        <r>
          <rPr>
            <sz val="9"/>
            <rFont val="Tahoma"/>
            <family val="2"/>
          </rPr>
          <t xml:space="preserve">
Includes immaterial short-term leases and variable lease costs.</t>
        </r>
      </text>
    </comment>
    <comment ref="AF41" authorId="3" shapeId="0" xr:uid="{6512753E-DA38-46F2-A883-4F0FFDCDB518}">
      <text>
        <r>
          <rPr>
            <b/>
            <sz val="9"/>
            <rFont val="Tahoma"/>
            <family val="2"/>
          </rPr>
          <t>Canalyst (TM):</t>
        </r>
        <r>
          <rPr>
            <sz val="9"/>
            <rFont val="Tahoma"/>
            <family val="2"/>
          </rPr>
          <t xml:space="preserve">
Stopped reporting this information in Q1-2018.</t>
        </r>
      </text>
    </comment>
    <comment ref="AC42" authorId="4" shapeId="0" xr:uid="{0E05B53B-4E85-41D2-AB41-984B26D04BC3}">
      <text>
        <r>
          <rPr>
            <b/>
            <sz val="9"/>
            <rFont val="Tahoma"/>
            <family val="2"/>
          </rPr>
          <t>Canalyst (DC):</t>
        </r>
        <r>
          <rPr>
            <sz val="9"/>
            <rFont val="Tahoma"/>
            <family val="2"/>
          </rPr>
          <t xml:space="preserve">
As reported</t>
        </r>
      </text>
    </comment>
    <comment ref="Y68" authorId="5" shapeId="0" xr:uid="{1F9069F6-38C7-4392-8A3F-8A7E7AFEDA0E}">
      <text>
        <r>
          <rPr>
            <b/>
            <sz val="9"/>
            <rFont val="Tahoma"/>
            <family val="2"/>
          </rPr>
          <t>Canalyst (JH):</t>
        </r>
        <r>
          <rPr>
            <sz val="9"/>
            <rFont val="Tahoma"/>
            <family val="2"/>
          </rPr>
          <t xml:space="preserve">
no longer reported</t>
        </r>
      </text>
    </comment>
    <comment ref="AA68" authorId="5" shapeId="0" xr:uid="{80B68DF6-88EF-4864-AD0C-83938FEBF8A0}">
      <text>
        <r>
          <rPr>
            <b/>
            <sz val="9"/>
            <rFont val="Tahoma"/>
            <family val="2"/>
          </rPr>
          <t>Canalyst (JH):</t>
        </r>
        <r>
          <rPr>
            <sz val="9"/>
            <rFont val="Tahoma"/>
            <family val="2"/>
          </rPr>
          <t xml:space="preserve">
no longer reported</t>
        </r>
      </text>
    </comment>
    <comment ref="AB68" authorId="5" shapeId="0" xr:uid="{4F98DF56-19C6-4317-9AC7-BBE11DE24887}">
      <text>
        <r>
          <rPr>
            <b/>
            <sz val="9"/>
            <rFont val="Tahoma"/>
            <family val="2"/>
          </rPr>
          <t>Canalyst (JH):</t>
        </r>
        <r>
          <rPr>
            <sz val="9"/>
            <rFont val="Tahoma"/>
            <family val="2"/>
          </rPr>
          <t xml:space="preserve">
no longer reported</t>
        </r>
      </text>
    </comment>
    <comment ref="AB69" authorId="6" shapeId="0" xr:uid="{1B3FBA76-9CC0-49E8-99C5-58AFFFE44DFA}">
      <text>
        <r>
          <rPr>
            <b/>
            <sz val="9"/>
            <rFont val="Tahoma"/>
            <family val="2"/>
          </rPr>
          <t>Canalyst (JK):</t>
        </r>
        <r>
          <rPr>
            <sz val="9"/>
            <rFont val="Tahoma"/>
            <family val="2"/>
          </rPr>
          <t xml:space="preserve">
Reported as very similar to previous quarters ASP</t>
        </r>
      </text>
    </comment>
    <comment ref="AC69" authorId="4" shapeId="0" xr:uid="{3A69858B-8C2B-4346-850E-76DBC20973BE}">
      <text>
        <r>
          <rPr>
            <b/>
            <sz val="9"/>
            <rFont val="Tahoma"/>
            <family val="2"/>
          </rPr>
          <t>Canalyst (DC):</t>
        </r>
        <r>
          <rPr>
            <sz val="9"/>
            <rFont val="Tahoma"/>
            <family val="2"/>
          </rPr>
          <t xml:space="preserve">
Not reported</t>
        </r>
      </text>
    </comment>
    <comment ref="Y74" authorId="5" shapeId="0" xr:uid="{0B888547-3B98-4D6C-ACD8-A94A0AC10898}">
      <text>
        <r>
          <rPr>
            <b/>
            <sz val="9"/>
            <rFont val="Tahoma"/>
            <family val="2"/>
          </rPr>
          <t>Canalyst (JH):</t>
        </r>
        <r>
          <rPr>
            <sz val="9"/>
            <rFont val="Tahoma"/>
            <family val="2"/>
          </rPr>
          <t xml:space="preserve">
currently an estimated due to limited information from the 8K. Full update will be come available upon 10K release.</t>
        </r>
      </text>
    </comment>
    <comment ref="Z74" authorId="5" shapeId="0" xr:uid="{9E144941-7444-4DE6-BC26-05C5585763D0}">
      <text>
        <r>
          <rPr>
            <b/>
            <sz val="9"/>
            <rFont val="Tahoma"/>
            <family val="2"/>
          </rPr>
          <t>Canalyst (JH):</t>
        </r>
        <r>
          <rPr>
            <sz val="9"/>
            <rFont val="Tahoma"/>
            <family val="2"/>
          </rPr>
          <t xml:space="preserve">
currently an estimated due to limited information from the 8K. Full update will be come available upon 10K release.</t>
        </r>
      </text>
    </comment>
    <comment ref="AA74" authorId="5" shapeId="0" xr:uid="{0CD362AF-3A33-4545-8247-5CFB0C6C5BD1}">
      <text>
        <r>
          <rPr>
            <b/>
            <sz val="9"/>
            <rFont val="Tahoma"/>
            <family val="2"/>
          </rPr>
          <t>Canalyst (YL):</t>
        </r>
        <r>
          <rPr>
            <sz val="9"/>
            <rFont val="Tahoma"/>
            <family val="2"/>
          </rPr>
          <t xml:space="preserve">
currently an estimated due to limited information from the 8K. Full update will be come available upon 10K release.</t>
        </r>
      </text>
    </comment>
    <comment ref="AM102" authorId="1" shapeId="0" xr:uid="{9E2DBFEA-9027-4863-AC82-C70AD9975969}">
      <text>
        <r>
          <rPr>
            <b/>
            <sz val="9"/>
            <rFont val="Tahoma"/>
            <family val="2"/>
          </rPr>
          <t>Canalyst (LX):</t>
        </r>
        <r>
          <rPr>
            <sz val="9"/>
            <rFont val="Tahoma"/>
            <family val="2"/>
          </rPr>
          <t xml:space="preserve">
Breakdown is reported with whole numbers starting this Q.</t>
        </r>
      </text>
    </comment>
    <comment ref="AN102" authorId="1" shapeId="0" xr:uid="{AC19F39E-A965-4BB7-97F3-8301127FCE3B}">
      <text>
        <r>
          <rPr>
            <b/>
            <sz val="9"/>
            <rFont val="Tahoma"/>
            <family val="2"/>
          </rPr>
          <t>Canalyst (LX):</t>
        </r>
        <r>
          <rPr>
            <sz val="9"/>
            <rFont val="Tahoma"/>
            <family val="2"/>
          </rPr>
          <t xml:space="preserve">
Backed out numbers might be inaccurate due to different rounding throughout the year.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Canalyst (CC)</author>
    <author>Canalyst (JX)</author>
    <author>Canalyst (RZ)</author>
    <author>Canalyst (AZ)</author>
    <author>Canalyst (LX)</author>
    <author>Canalyst (SL)</author>
    <author>Canalyst (ML)</author>
  </authors>
  <commentList>
    <comment ref="A4" authorId="0" shapeId="0" xr:uid="{00000000-0006-0000-0200-000001000000}">
      <text>
        <r>
          <rPr>
            <b/>
            <sz val="9"/>
            <rFont val="Tahoma"/>
            <family val="2"/>
          </rPr>
          <t>Canalyst:</t>
        </r>
        <r>
          <rPr>
            <sz val="9"/>
            <rFont val="Tahoma"/>
            <family val="2"/>
          </rPr>
          <t xml:space="preserve">
Sort Largest to Smallest to return to default.</t>
        </r>
      </text>
    </comment>
    <comment ref="J6" authorId="1" shapeId="0" xr:uid="{7BB5007F-6BA7-4174-BB48-DD6857DE2B10}">
      <text>
        <r>
          <rPr>
            <b/>
            <sz val="9"/>
            <rFont val="Tahoma"/>
            <family val="2"/>
          </rPr>
          <t>Canalyst (JX):</t>
        </r>
        <r>
          <rPr>
            <sz val="9"/>
            <rFont val="Tahoma"/>
            <family val="2"/>
          </rPr>
          <t xml:space="preserve">
The company currently expects capital expenditures to exceed $6 billion in 2021 and be </t>
        </r>
        <r>
          <rPr>
            <b/>
            <sz val="9"/>
            <rFont val="Tahoma"/>
            <family val="2"/>
          </rPr>
          <t>between $5 to $7 billion in each of the next two fiscal years.</t>
        </r>
      </text>
    </comment>
    <comment ref="J8" authorId="1" shapeId="0" xr:uid="{170DE3D0-69DC-4CAE-BC9F-C173B674E72F}">
      <text>
        <r>
          <rPr>
            <b/>
            <sz val="9"/>
            <rFont val="Tahoma"/>
            <family val="2"/>
          </rPr>
          <t>Canalyst (JX):</t>
        </r>
        <r>
          <rPr>
            <sz val="9"/>
            <rFont val="Tahoma"/>
            <family val="2"/>
          </rPr>
          <t xml:space="preserve">
The company currently expects capital expenditures to exceed $6 billion in 2021 and be </t>
        </r>
        <r>
          <rPr>
            <b/>
            <sz val="9"/>
            <rFont val="Tahoma"/>
            <family val="2"/>
          </rPr>
          <t>between $5 to $7 billion in each of the next two fiscal years.</t>
        </r>
      </text>
    </comment>
    <comment ref="J10" authorId="1" shapeId="0" xr:uid="{20DB66BD-A51D-459C-BB50-FDBD1E27CFC5}">
      <text>
        <r>
          <rPr>
            <b/>
            <sz val="9"/>
            <rFont val="Tahoma"/>
            <family val="2"/>
          </rPr>
          <t>Canalyst (JX):</t>
        </r>
        <r>
          <rPr>
            <sz val="9"/>
            <rFont val="Tahoma"/>
            <family val="2"/>
          </rPr>
          <t xml:space="preserve">
The company currently expects capital expenditures to </t>
        </r>
        <r>
          <rPr>
            <b/>
            <sz val="9"/>
            <rFont val="Tahoma"/>
            <family val="2"/>
          </rPr>
          <t>exceed $6 billion in 2021</t>
        </r>
        <r>
          <rPr>
            <sz val="9"/>
            <rFont val="Tahoma"/>
            <family val="2"/>
          </rPr>
          <t xml:space="preserve"> and be between $5 to $7 billion in each of the next two fiscal years.</t>
        </r>
      </text>
    </comment>
    <comment ref="F12" authorId="2" shapeId="0" xr:uid="{9E3916EE-3057-48B8-BED6-BF19780E9E57}">
      <text>
        <r>
          <rPr>
            <b/>
            <sz val="9"/>
            <rFont val="Tahoma"/>
            <family val="2"/>
          </rPr>
          <t>Canalyst (RZ):</t>
        </r>
        <r>
          <rPr>
            <sz val="9"/>
            <rFont val="Tahoma"/>
            <family val="2"/>
          </rPr>
          <t xml:space="preserve">
Over a multi-year horizon</t>
        </r>
      </text>
    </comment>
    <comment ref="J12" authorId="2" shapeId="0" xr:uid="{51FD7EA2-9907-4C8A-A7E8-BFA9FCAB35D1}">
      <text>
        <r>
          <rPr>
            <b/>
            <sz val="9"/>
            <rFont val="Tahoma"/>
            <family val="2"/>
          </rPr>
          <t>Canalyst (RZ):</t>
        </r>
        <r>
          <rPr>
            <sz val="9"/>
            <rFont val="Tahoma"/>
            <family val="2"/>
          </rPr>
          <t xml:space="preserve">
Over a multi-year horizon, we expect to achieve 50% average annual growth in vehicle deliveries. In some years we may grow faster, which we expect to be the case in 2021</t>
        </r>
      </text>
    </comment>
    <comment ref="J14" authorId="3" shapeId="0" xr:uid="{4A06115D-4CCB-43F4-8D4A-52062DFCF4D2}">
      <text>
        <r>
          <rPr>
            <b/>
            <sz val="9"/>
            <rFont val="Tahoma"/>
            <family val="2"/>
          </rPr>
          <t>Canalyst (EM):</t>
        </r>
        <r>
          <rPr>
            <sz val="9"/>
            <rFont val="Tahoma"/>
            <family val="2"/>
          </rPr>
          <t xml:space="preserve">
The company expects annual capital expenditures to be $4.50 to $6.00 billion in 2021 and in each of the next two fiscal years.</t>
        </r>
      </text>
    </comment>
    <comment ref="J16" authorId="3" shapeId="0" xr:uid="{692EBEA5-87B5-4CEB-BBA8-0107D2EDF5E6}">
      <text>
        <r>
          <rPr>
            <b/>
            <sz val="9"/>
            <rFont val="Tahoma"/>
            <family val="2"/>
          </rPr>
          <t>Canalyst (EM):</t>
        </r>
        <r>
          <rPr>
            <sz val="9"/>
            <rFont val="Tahoma"/>
            <family val="2"/>
          </rPr>
          <t xml:space="preserve">
The company expects annual capital expenditures to be $4.50 to $6.00 billion in 2021 and in each of the next two fiscal years.</t>
        </r>
      </text>
    </comment>
    <comment ref="J18" authorId="3" shapeId="0" xr:uid="{22161F02-FD39-48F3-A28D-65BFB6964098}">
      <text>
        <r>
          <rPr>
            <b/>
            <sz val="9"/>
            <rFont val="Tahoma"/>
            <family val="2"/>
          </rPr>
          <t>Canalyst (EM):</t>
        </r>
        <r>
          <rPr>
            <sz val="9"/>
            <rFont val="Tahoma"/>
            <family val="2"/>
          </rPr>
          <t xml:space="preserve">
The company expects annual capital expenditures to be $4.50 to $6.00 billion in 2021 and in each of the next two fiscal years.</t>
        </r>
      </text>
    </comment>
    <comment ref="F20" authorId="2" shapeId="0" xr:uid="{2258A776-009D-477E-AA03-CE62CF2E7065}">
      <text>
        <r>
          <rPr>
            <b/>
            <sz val="9"/>
            <rFont val="Tahoma"/>
            <family val="2"/>
          </rPr>
          <t>Canalyst (RZ):</t>
        </r>
        <r>
          <rPr>
            <sz val="9"/>
            <rFont val="Tahoma"/>
            <family val="2"/>
          </rPr>
          <t xml:space="preserve">
Over a multi-year horizon</t>
        </r>
      </text>
    </comment>
    <comment ref="J20" authorId="2" shapeId="0" xr:uid="{322C5EBA-FEF7-4B8E-981A-A28116F20521}">
      <text>
        <r>
          <rPr>
            <b/>
            <sz val="9"/>
            <rFont val="Tahoma"/>
            <family val="2"/>
          </rPr>
          <t>Canalyst (RZ):</t>
        </r>
        <r>
          <rPr>
            <sz val="9"/>
            <rFont val="Tahoma"/>
            <family val="2"/>
          </rPr>
          <t xml:space="preserve">
Over a multi-year horizon, we expect to achieve 50% average annual growth in vehicle deliveries. In some years we may grow faster, which we expect to be the case in 2021</t>
        </r>
      </text>
    </comment>
    <comment ref="J22" authorId="3" shapeId="0" xr:uid="{E5CC3833-B290-4906-9806-F2390FCCFFFC}">
      <text>
        <r>
          <rPr>
            <b/>
            <sz val="9"/>
            <rFont val="Tahoma"/>
            <family val="2"/>
          </rPr>
          <t>Canalyst (TK):</t>
        </r>
        <r>
          <rPr>
            <sz val="9"/>
            <rFont val="Tahoma"/>
            <family val="2"/>
          </rPr>
          <t xml:space="preserve">
The company expects annual capital expenditures to be $4.50 to $6.00 billion in 2021 and in each of the next two fiscal years.</t>
        </r>
      </text>
    </comment>
    <comment ref="J24" authorId="3" shapeId="0" xr:uid="{052BE7D6-4DFB-42B3-84F2-AD0378B2B0B4}">
      <text>
        <r>
          <rPr>
            <b/>
            <sz val="9"/>
            <rFont val="Tahoma"/>
            <family val="2"/>
          </rPr>
          <t>Canalyst (TK):</t>
        </r>
        <r>
          <rPr>
            <sz val="9"/>
            <rFont val="Tahoma"/>
            <family val="2"/>
          </rPr>
          <t xml:space="preserve">
The company expects annual capital expenditures to be $4.50 to $6.00 billion in 2021 and in each of the next two fiscal years.</t>
        </r>
      </text>
    </comment>
    <comment ref="J26" authorId="3" shapeId="0" xr:uid="{158882FE-18CF-43C7-91CF-F1D2E2E88D5B}">
      <text>
        <r>
          <rPr>
            <b/>
            <sz val="9"/>
            <rFont val="Tahoma"/>
            <family val="2"/>
          </rPr>
          <t>Canalyst (TK):</t>
        </r>
        <r>
          <rPr>
            <sz val="9"/>
            <rFont val="Tahoma"/>
            <family val="2"/>
          </rPr>
          <t xml:space="preserve">
The company expects annual capital expenditures to be $4.50 to $6.00 billion in 2021 and in each of the next two fiscal years.</t>
        </r>
      </text>
    </comment>
    <comment ref="F28" authorId="2" shapeId="0" xr:uid="{A07F69AE-7FD1-428D-BDA1-168AE6ABE53A}">
      <text>
        <r>
          <rPr>
            <b/>
            <sz val="9"/>
            <rFont val="Tahoma"/>
            <family val="2"/>
          </rPr>
          <t>Canalyst (RZ):</t>
        </r>
        <r>
          <rPr>
            <sz val="9"/>
            <rFont val="Tahoma"/>
            <family val="2"/>
          </rPr>
          <t xml:space="preserve">
Over a multi-year horizon</t>
        </r>
      </text>
    </comment>
    <comment ref="J28" authorId="2" shapeId="0" xr:uid="{A11885A2-E5FC-4198-B44F-E7BBE97D0B4E}">
      <text>
        <r>
          <rPr>
            <b/>
            <sz val="9"/>
            <rFont val="Tahoma"/>
            <family val="2"/>
          </rPr>
          <t>Canalyst (RZ):</t>
        </r>
        <r>
          <rPr>
            <sz val="9"/>
            <rFont val="Tahoma"/>
            <family val="2"/>
          </rPr>
          <t xml:space="preserve">
Over a multi-year horizon, we expect to achieve 50% average annual growth in vehicle deliveries. In some years we may grow faster, which we expect to be the case in 2021</t>
        </r>
      </text>
    </comment>
    <comment ref="J30" authorId="3" shapeId="0" xr:uid="{AA9D6E6E-E6AF-4D50-892D-0630BD39BBFA}">
      <text>
        <r>
          <rPr>
            <b/>
            <sz val="9"/>
            <rFont val="Tahoma"/>
            <family val="2"/>
          </rPr>
          <t>Canalyst (TK):</t>
        </r>
        <r>
          <rPr>
            <sz val="9"/>
            <rFont val="Tahoma"/>
            <family val="2"/>
          </rPr>
          <t xml:space="preserve">
The company expects annual capital expenditures to be $4.50 to $6.00 billion in 2021 and in each of the next two fiscal years.</t>
        </r>
      </text>
    </comment>
    <comment ref="J32" authorId="3" shapeId="0" xr:uid="{18DC59A2-A731-4FC9-84F6-3B15494DA748}">
      <text>
        <r>
          <rPr>
            <b/>
            <sz val="9"/>
            <rFont val="Tahoma"/>
            <family val="2"/>
          </rPr>
          <t>Canalyst (TK):</t>
        </r>
        <r>
          <rPr>
            <sz val="9"/>
            <rFont val="Tahoma"/>
            <family val="2"/>
          </rPr>
          <t xml:space="preserve">
The company expects annual capital expenditures to be $4.50 to $6.00 billion in 2021 and in each of the next two fiscal years.</t>
        </r>
      </text>
    </comment>
    <comment ref="J34" authorId="3" shapeId="0" xr:uid="{143F31C5-0877-43CC-905F-0F2B1239F2FF}">
      <text>
        <r>
          <rPr>
            <b/>
            <sz val="9"/>
            <rFont val="Tahoma"/>
            <family val="2"/>
          </rPr>
          <t>Canalyst (TK):</t>
        </r>
        <r>
          <rPr>
            <sz val="9"/>
            <rFont val="Tahoma"/>
            <family val="2"/>
          </rPr>
          <t xml:space="preserve">
The company expects annual capital expenditures to be $4.50 to $6.00 billion in 2021 and in each of the next two fiscal years.</t>
        </r>
      </text>
    </comment>
    <comment ref="J36" authorId="3" shapeId="0" xr:uid="{0DAC2284-A1C1-4CE6-93D0-82DBEF581159}">
      <text>
        <r>
          <rPr>
            <b/>
            <sz val="9"/>
            <rFont val="Tahoma"/>
            <family val="2"/>
          </rPr>
          <t>Canalyst (JeL):</t>
        </r>
        <r>
          <rPr>
            <sz val="9"/>
            <rFont val="Tahoma"/>
            <family val="2"/>
          </rPr>
          <t xml:space="preserve">
The company expects annual capital expenditures in 2021 and 2022 to be in the range of $4.5 billion to $6 billion.</t>
        </r>
      </text>
    </comment>
    <comment ref="J38" authorId="3" shapeId="0" xr:uid="{A0002DA3-CE19-41BB-9242-F42550945791}">
      <text>
        <r>
          <rPr>
            <b/>
            <sz val="9"/>
            <rFont val="Tahoma"/>
            <family val="2"/>
          </rPr>
          <t>Canalyst (JeL):</t>
        </r>
        <r>
          <rPr>
            <sz val="9"/>
            <rFont val="Tahoma"/>
            <family val="2"/>
          </rPr>
          <t xml:space="preserve">
The company expects annual capital expenditures in 2021 and 2022 to be in the range of $4.5 billion to $6 billion.</t>
        </r>
      </text>
    </comment>
    <comment ref="J40" authorId="3" shapeId="0" xr:uid="{B1A7CC5C-6090-4A01-9E01-86DD228AC026}">
      <text>
        <r>
          <rPr>
            <b/>
            <sz val="9"/>
            <rFont val="Tahoma"/>
            <family val="2"/>
          </rPr>
          <t>Canalyst (JeL):</t>
        </r>
        <r>
          <rPr>
            <sz val="9"/>
            <rFont val="Tahoma"/>
            <family val="2"/>
          </rPr>
          <t xml:space="preserve">
The company expects their capital expenditures in 2020 to be at the high end of the previously forecasted range of $2.5 billion to $3.5 billion.</t>
        </r>
      </text>
    </comment>
    <comment ref="J42" authorId="3" shapeId="0" xr:uid="{8EE4BF67-6F0B-4690-88DC-1F0A2D59E95C}">
      <text>
        <r>
          <rPr>
            <b/>
            <sz val="9"/>
            <rFont val="Tahoma"/>
            <family val="2"/>
          </rPr>
          <t>Canalyst (AZ):</t>
        </r>
        <r>
          <rPr>
            <sz val="9"/>
            <rFont val="Tahoma"/>
            <family val="2"/>
          </rPr>
          <t xml:space="preserve">
The company has the capacity installed to exceed 500,000 vehicle deliveries this year, despite recent production interruptions. While achieving this goal has become more difficult, delivering half a million vehicles in 2020 remains the company's target.
</t>
        </r>
      </text>
    </comment>
    <comment ref="J44" authorId="3" shapeId="0" xr:uid="{4CBA478B-0882-4940-824D-BC827B8E3909}">
      <text>
        <r>
          <rPr>
            <b/>
            <sz val="9"/>
            <rFont val="Tahoma"/>
            <family val="2"/>
          </rPr>
          <t>Canalyst (AZ):</t>
        </r>
        <r>
          <rPr>
            <sz val="9"/>
            <rFont val="Tahoma"/>
            <family val="2"/>
          </rPr>
          <t xml:space="preserve">
The company expects their average annual capital expenditures in 2020 and the two succeeding fiscal years to be $2.5 billion to $3.5 billion.</t>
        </r>
      </text>
    </comment>
    <comment ref="J46" authorId="3" shapeId="0" xr:uid="{52A7DADE-9009-455C-AE49-10E053166D5F}">
      <text>
        <r>
          <rPr>
            <b/>
            <sz val="9"/>
            <rFont val="Tahoma"/>
            <family val="2"/>
          </rPr>
          <t>Canalyst (AZ):</t>
        </r>
        <r>
          <rPr>
            <sz val="9"/>
            <rFont val="Tahoma"/>
            <family val="2"/>
          </rPr>
          <t xml:space="preserve">
The company expects their average annual capital expenditures in 2020 and the two succeeding fiscal years to be $2.5 billion to $3.5 billion.</t>
        </r>
      </text>
    </comment>
    <comment ref="J48" authorId="3" shapeId="0" xr:uid="{B8599807-A0D2-4B79-805B-A27B7F953D73}">
      <text>
        <r>
          <rPr>
            <b/>
            <sz val="9"/>
            <rFont val="Tahoma"/>
            <family val="2"/>
          </rPr>
          <t>Canalyst (AZ):</t>
        </r>
        <r>
          <rPr>
            <sz val="9"/>
            <rFont val="Tahoma"/>
            <family val="2"/>
          </rPr>
          <t xml:space="preserve">
The company expects their average annual capital expenditures in 2020 and the two succeeding fiscal years to be $2.5 billion to $3.5 billion.</t>
        </r>
      </text>
    </comment>
    <comment ref="J50" authorId="3" shapeId="0" xr:uid="{FB0A5A55-4ED4-4207-BFB5-0A78E01E3B9E}">
      <text>
        <r>
          <rPr>
            <b/>
            <sz val="9"/>
            <rFont val="Tahoma"/>
            <family val="2"/>
          </rPr>
          <t>Canalyst (AZ):</t>
        </r>
        <r>
          <rPr>
            <sz val="9"/>
            <rFont val="Tahoma"/>
            <family val="2"/>
          </rPr>
          <t xml:space="preserve">
The company has the capacity installed to exceed 500,000 vehicle deliveries this year, despite recent production interruptions. While achieving this goal has become more difficult, delivering half a million vehicles in 2020 remains the company's target.
</t>
        </r>
      </text>
    </comment>
    <comment ref="J52" authorId="3" shapeId="0" xr:uid="{49E7AAB1-0818-4CBA-9760-35DACBF4F095}">
      <text>
        <r>
          <rPr>
            <b/>
            <sz val="9"/>
            <rFont val="Tahoma"/>
            <family val="2"/>
          </rPr>
          <t>Canalyst (AZ):</t>
        </r>
        <r>
          <rPr>
            <sz val="9"/>
            <rFont val="Tahoma"/>
            <family val="2"/>
          </rPr>
          <t xml:space="preserve">
The company expects their average annual capital expenditures in 2020 and the two succeeding fiscal years to be $2.5 billion to $3.5 billion.</t>
        </r>
      </text>
    </comment>
    <comment ref="J54" authorId="3" shapeId="0" xr:uid="{6ED3C750-06AC-4088-9D99-BB0DC0BDCC07}">
      <text>
        <r>
          <rPr>
            <b/>
            <sz val="9"/>
            <rFont val="Tahoma"/>
            <family val="2"/>
          </rPr>
          <t>Canalyst (AZ):</t>
        </r>
        <r>
          <rPr>
            <sz val="9"/>
            <rFont val="Tahoma"/>
            <family val="2"/>
          </rPr>
          <t xml:space="preserve">
The company expects their average annual capital expenditures in 2020 and the two succeeding fiscal years to be $2.5 billion to $3.5 billion.</t>
        </r>
      </text>
    </comment>
    <comment ref="J56" authorId="3" shapeId="0" xr:uid="{137AD04D-D7BE-4943-8E16-7667F3992B00}">
      <text>
        <r>
          <rPr>
            <b/>
            <sz val="9"/>
            <rFont val="Tahoma"/>
            <family val="2"/>
          </rPr>
          <t>Canalyst (AZ):</t>
        </r>
        <r>
          <rPr>
            <sz val="9"/>
            <rFont val="Tahoma"/>
            <family val="2"/>
          </rPr>
          <t xml:space="preserve">
The company expects their average annual capital expenditures in 2020 and the two succeeding fiscal years to be $2.5 billion to $3.5 billion.</t>
        </r>
      </text>
    </comment>
    <comment ref="J58" authorId="3" shapeId="0" xr:uid="{1D6ACAA8-5BA4-432D-829D-ABF577D49C44}">
      <text>
        <r>
          <rPr>
            <b/>
            <sz val="9"/>
            <rFont val="Tahoma"/>
            <family val="2"/>
            <charset val="1"/>
          </rPr>
          <t>Canalyst (AZ):</t>
        </r>
        <r>
          <rPr>
            <sz val="9"/>
            <rFont val="Tahoma"/>
            <family val="2"/>
            <charset val="1"/>
          </rPr>
          <t xml:space="preserve">
For full year 2020, vehicle deliveries should comfortably exceed 500,000 units. Due to ramp of Model 3 in
Shanghai and Model Y in Fremont, production will likely outpace deliveries this year. </t>
        </r>
      </text>
    </comment>
    <comment ref="J60" authorId="3" shapeId="0" xr:uid="{5916733C-A23F-496B-9564-BB90F3A80B65}">
      <text>
        <r>
          <rPr>
            <b/>
            <sz val="9"/>
            <rFont val="Tahoma"/>
            <family val="2"/>
            <charset val="1"/>
          </rPr>
          <t>Canalyst (AZ):</t>
        </r>
        <r>
          <rPr>
            <sz val="9"/>
            <rFont val="Tahoma"/>
            <family val="2"/>
            <charset val="1"/>
          </rPr>
          <t xml:space="preserve">
The ramp of Model Y will be gradual as we will be adding additional machinery
in various production shops. After such expansions are done by mid-2020,
installed combined Model 3 and Model Y capacity should reach 500,000 units
per year. We will start delivering Model Y vehicles by the end of Q1 2020.
</t>
        </r>
      </text>
    </comment>
    <comment ref="M60" authorId="3" shapeId="0" xr:uid="{7A00A93C-EBE7-4E56-B960-AC8B57050DF9}">
      <text>
        <r>
          <rPr>
            <b/>
            <sz val="9"/>
            <rFont val="Tahoma"/>
            <family val="2"/>
            <charset val="1"/>
          </rPr>
          <t>Canalyst (AZ):</t>
        </r>
        <r>
          <rPr>
            <sz val="9"/>
            <rFont val="Tahoma"/>
            <family val="2"/>
            <charset val="1"/>
          </rPr>
          <t xml:space="preserve">
Production capacity is not forecasted in this model</t>
        </r>
      </text>
    </comment>
    <comment ref="J62" authorId="3" shapeId="0" xr:uid="{65085516-88FC-48B1-8784-86FC347D24FF}">
      <text>
        <r>
          <rPr>
            <b/>
            <sz val="9"/>
            <rFont val="Tahoma"/>
            <family val="2"/>
            <charset val="1"/>
          </rPr>
          <t>Canalyst (AZ):</t>
        </r>
        <r>
          <rPr>
            <sz val="9"/>
            <rFont val="Tahoma"/>
            <family val="2"/>
            <charset val="1"/>
          </rPr>
          <t xml:space="preserve">
The production ramp of Model Y started in January 2020. Together with
Model 3, our combined installed production capacity for these vehicles is now
400,000 units per year.</t>
        </r>
      </text>
    </comment>
    <comment ref="M62" authorId="3" shapeId="0" xr:uid="{EF040786-BA17-4B12-ADBF-A366F99079E2}">
      <text>
        <r>
          <rPr>
            <b/>
            <sz val="9"/>
            <rFont val="Tahoma"/>
            <family val="2"/>
            <charset val="1"/>
          </rPr>
          <t>Canalyst (AZ):</t>
        </r>
        <r>
          <rPr>
            <sz val="9"/>
            <rFont val="Tahoma"/>
            <family val="2"/>
            <charset val="1"/>
          </rPr>
          <t xml:space="preserve">
Production capacity is not forecasted in this model</t>
        </r>
      </text>
    </comment>
    <comment ref="J69" authorId="4" shapeId="0" xr:uid="{C57BBC77-D422-46E9-8D69-3CB99D3D46A2}">
      <text>
        <r>
          <rPr>
            <b/>
            <sz val="9"/>
            <rFont val="Tahoma"/>
            <family val="2"/>
          </rPr>
          <t>Canalyst (LX):</t>
        </r>
        <r>
          <rPr>
            <sz val="9"/>
            <rFont val="Tahoma"/>
            <family val="2"/>
          </rPr>
          <t xml:space="preserve">
Reaffirming previous guidance and also targeting a more aggressive schedule of 500,000</t>
        </r>
      </text>
    </comment>
    <comment ref="J84" authorId="4" shapeId="0" xr:uid="{00000000-0006-0000-0200-000002000000}">
      <text>
        <r>
          <rPr>
            <b/>
            <sz val="9"/>
            <rFont val="Tahoma"/>
            <family val="2"/>
          </rPr>
          <t>Canalyst (LX):</t>
        </r>
        <r>
          <rPr>
            <sz val="9"/>
            <rFont val="Tahoma"/>
            <family val="2"/>
          </rPr>
          <t xml:space="preserve">
Slightly below Q1-2018</t>
        </r>
      </text>
    </comment>
    <comment ref="M86" authorId="5" shapeId="0" xr:uid="{00000000-0006-0000-0200-000003000000}">
      <text>
        <r>
          <rPr>
            <b/>
            <sz val="9"/>
            <rFont val="Tahoma"/>
            <family val="2"/>
          </rPr>
          <t>Canalyst (SL):</t>
        </r>
        <r>
          <rPr>
            <sz val="9"/>
            <rFont val="Tahoma"/>
            <family val="2"/>
          </rPr>
          <t xml:space="preserve">
Currently not forecasted in our model</t>
        </r>
      </text>
    </comment>
    <comment ref="J87" authorId="5" shapeId="0" xr:uid="{00000000-0006-0000-0200-000004000000}">
      <text>
        <r>
          <rPr>
            <b/>
            <sz val="9"/>
            <rFont val="Tahoma"/>
            <family val="2"/>
          </rPr>
          <t>Canalyst (SL):</t>
        </r>
        <r>
          <rPr>
            <sz val="9"/>
            <rFont val="Tahoma"/>
            <family val="2"/>
          </rPr>
          <t xml:space="preserve">
Slightly below $2.5 billion</t>
        </r>
      </text>
    </comment>
    <comment ref="M89" authorId="5" shapeId="0" xr:uid="{00000000-0006-0000-0200-000005000000}">
      <text>
        <r>
          <rPr>
            <b/>
            <sz val="9"/>
            <rFont val="Tahoma"/>
            <family val="2"/>
          </rPr>
          <t>Canalyst (SL):</t>
        </r>
        <r>
          <rPr>
            <sz val="9"/>
            <rFont val="Tahoma"/>
            <family val="2"/>
          </rPr>
          <t xml:space="preserve">
Currently not forecasted in our model</t>
        </r>
      </text>
    </comment>
    <comment ref="J90" authorId="5" shapeId="0" xr:uid="{00000000-0006-0000-0200-000006000000}">
      <text>
        <r>
          <rPr>
            <b/>
            <sz val="9"/>
            <rFont val="Tahoma"/>
            <family val="2"/>
          </rPr>
          <t>Canalyst (SL):</t>
        </r>
        <r>
          <rPr>
            <sz val="9"/>
            <rFont val="Tahoma"/>
            <family val="2"/>
          </rPr>
          <t xml:space="preserve">
Slightly below $2.5 billion</t>
        </r>
      </text>
    </comment>
    <comment ref="M92" authorId="5" shapeId="0" xr:uid="{00000000-0006-0000-0200-000007000000}">
      <text>
        <r>
          <rPr>
            <b/>
            <sz val="9"/>
            <rFont val="Tahoma"/>
            <family val="2"/>
          </rPr>
          <t>Canalyst (SL):</t>
        </r>
        <r>
          <rPr>
            <sz val="9"/>
            <rFont val="Tahoma"/>
            <family val="2"/>
          </rPr>
          <t xml:space="preserve">
Currently not forecasted in our model</t>
        </r>
      </text>
    </comment>
    <comment ref="J94" authorId="5" shapeId="0" xr:uid="{00000000-0006-0000-0200-000008000000}">
      <text>
        <r>
          <rPr>
            <b/>
            <sz val="9"/>
            <rFont val="Tahoma"/>
            <family val="2"/>
          </rPr>
          <t>Canalyst (SL):</t>
        </r>
        <r>
          <rPr>
            <sz val="9"/>
            <rFont val="Tahoma"/>
            <family val="2"/>
          </rPr>
          <t xml:space="preserve">
In line with last quarter</t>
        </r>
      </text>
    </comment>
    <comment ref="M96" authorId="5" shapeId="0" xr:uid="{00000000-0006-0000-0200-000009000000}">
      <text>
        <r>
          <rPr>
            <b/>
            <sz val="9"/>
            <rFont val="Tahoma"/>
            <family val="2"/>
          </rPr>
          <t>Canalyst (SL):</t>
        </r>
        <r>
          <rPr>
            <sz val="9"/>
            <rFont val="Tahoma"/>
            <family val="2"/>
          </rPr>
          <t xml:space="preserve">
Currently not forecasted in our model</t>
        </r>
      </text>
    </comment>
    <comment ref="M97" authorId="5" shapeId="0" xr:uid="{00000000-0006-0000-0200-00000A000000}">
      <text>
        <r>
          <rPr>
            <b/>
            <sz val="9"/>
            <rFont val="Tahoma"/>
            <family val="2"/>
          </rPr>
          <t>Canalyst (SL):</t>
        </r>
        <r>
          <rPr>
            <sz val="9"/>
            <rFont val="Tahoma"/>
            <family val="2"/>
          </rPr>
          <t xml:space="preserve">
Currently not forecasted in our model</t>
        </r>
      </text>
    </comment>
    <comment ref="H107" authorId="6" shapeId="0" xr:uid="{00000000-0006-0000-0200-00000B000000}">
      <text>
        <r>
          <rPr>
            <b/>
            <sz val="9"/>
            <rFont val="Tahoma"/>
            <family val="2"/>
          </rPr>
          <t>Canalyst (ML):</t>
        </r>
        <r>
          <rPr>
            <sz val="9"/>
            <rFont val="Tahoma"/>
            <family val="2"/>
          </rPr>
          <t xml:space="preserve">
13 weeks assumed</t>
        </r>
      </text>
    </comment>
    <comment ref="I107" authorId="6" shapeId="0" xr:uid="{00000000-0006-0000-0200-00000C000000}">
      <text>
        <r>
          <rPr>
            <b/>
            <sz val="9"/>
            <rFont val="Tahoma"/>
            <family val="2"/>
          </rPr>
          <t>Canalyst (ML):</t>
        </r>
        <r>
          <rPr>
            <sz val="9"/>
            <rFont val="Tahoma"/>
            <family val="2"/>
          </rPr>
          <t xml:space="preserve">
13 weeks assumed</t>
        </r>
      </text>
    </comment>
    <comment ref="J107" authorId="6" shapeId="0" xr:uid="{00000000-0006-0000-0200-00000D000000}">
      <text>
        <r>
          <rPr>
            <b/>
            <sz val="9"/>
            <rFont val="Tahoma"/>
            <family val="2"/>
          </rPr>
          <t>Canalyst (ML):</t>
        </r>
        <r>
          <rPr>
            <sz val="9"/>
            <rFont val="Tahoma"/>
            <family val="2"/>
          </rPr>
          <t xml:space="preserve">
Guidance provided as 5000 weekly.</t>
        </r>
      </text>
    </comment>
    <comment ref="H110" authorId="6" shapeId="0" xr:uid="{00000000-0006-0000-0200-00000E000000}">
      <text>
        <r>
          <rPr>
            <b/>
            <sz val="9"/>
            <rFont val="Tahoma"/>
            <family val="2"/>
          </rPr>
          <t>Canalyst (ML):</t>
        </r>
        <r>
          <rPr>
            <sz val="9"/>
            <rFont val="Tahoma"/>
            <family val="2"/>
          </rPr>
          <t xml:space="preserve">
13 weeks assumed</t>
        </r>
      </text>
    </comment>
    <comment ref="I110" authorId="6" shapeId="0" xr:uid="{00000000-0006-0000-0200-00000F000000}">
      <text>
        <r>
          <rPr>
            <b/>
            <sz val="9"/>
            <rFont val="Tahoma"/>
            <family val="2"/>
          </rPr>
          <t>Canalyst (ML):</t>
        </r>
        <r>
          <rPr>
            <sz val="9"/>
            <rFont val="Tahoma"/>
            <family val="2"/>
          </rPr>
          <t xml:space="preserve">
13 weeks assumed</t>
        </r>
      </text>
    </comment>
    <comment ref="J110" authorId="6" shapeId="0" xr:uid="{00000000-0006-0000-0200-000010000000}">
      <text>
        <r>
          <rPr>
            <b/>
            <sz val="9"/>
            <rFont val="Tahoma"/>
            <family val="2"/>
          </rPr>
          <t>Canalyst (ML):</t>
        </r>
        <r>
          <rPr>
            <sz val="9"/>
            <rFont val="Tahoma"/>
            <family val="2"/>
          </rPr>
          <t xml:space="preserve">
Guidance provided as 2500 weekly.</t>
        </r>
      </text>
    </comment>
  </commentList>
</comments>
</file>

<file path=xl/sharedStrings.xml><?xml version="1.0" encoding="utf-8"?>
<sst xmlns="http://schemas.openxmlformats.org/spreadsheetml/2006/main" count="1162" uniqueCount="816">
  <si>
    <t xml:space="preserve">Please contact this email for any model-specific questions: </t>
  </si>
  <si>
    <t>support@canalyst.com</t>
  </si>
  <si>
    <t>Company Model:</t>
  </si>
  <si>
    <t>Comments on Model:</t>
  </si>
  <si>
    <t xml:space="preserve">Updated: </t>
  </si>
  <si>
    <t>For:</t>
  </si>
  <si>
    <t>Consensus Data and Real-Time Stock Price:</t>
  </si>
  <si>
    <t>Bloomberg</t>
  </si>
  <si>
    <t>Real-Time Stock Price:</t>
  </si>
  <si>
    <t>Stock Price Override:</t>
  </si>
  <si>
    <t>Tesla, Inc.</t>
  </si>
  <si>
    <t>USD</t>
  </si>
  <si>
    <t>FY2009</t>
  </si>
  <si>
    <t>Automotive revenue, mm</t>
  </si>
  <si>
    <t>Automotive leasing revenue, mm</t>
  </si>
  <si>
    <t>Services and other revenue, mm</t>
  </si>
  <si>
    <t>Energy generation and storage revenue, mm</t>
  </si>
  <si>
    <t>Total Revenue, mm</t>
  </si>
  <si>
    <t>Automotive COGS, mm</t>
  </si>
  <si>
    <t>Automotive leasing COGS, mm</t>
  </si>
  <si>
    <t>Services and other COGS, mm</t>
  </si>
  <si>
    <t>Energy generation and storage COGS, mm</t>
  </si>
  <si>
    <t>Total COGS, mm</t>
  </si>
  <si>
    <t>Model S cars delivered, units</t>
  </si>
  <si>
    <t>Model X cars delivered, units</t>
  </si>
  <si>
    <t>Total Deliveries, units</t>
  </si>
  <si>
    <t>Change in leased assets, mm</t>
  </si>
  <si>
    <t>Key Metrics (Historical)</t>
  </si>
  <si>
    <t>Key Metrics - Detailed Account Activity related to Resale Value Guarantee Program and Lease (MD&amp;A)</t>
  </si>
  <si>
    <t>Operating Lease Vehicles BOP, mm</t>
  </si>
  <si>
    <t>Increase in operating lease vehicles, mm</t>
  </si>
  <si>
    <t>Depreciation expense recorded in cost of automotive revenues, mm</t>
  </si>
  <si>
    <t>Additional depreciation expense recorded in cost of automotive revenues as a result of early cancellation of resale value guarantee, mm</t>
  </si>
  <si>
    <t>Additional depreciation expense recorded in cost of automotive revenues as a result of expiration and exercises of resale value guarantee, mm</t>
  </si>
  <si>
    <t>Depreciation Cost, mm</t>
  </si>
  <si>
    <t>Increase in inventory from vehicles returned, mm</t>
  </si>
  <si>
    <t>Operating Lease Vehicles EOP, mm</t>
  </si>
  <si>
    <t>Average Operating Lease Vehicles, mm</t>
  </si>
  <si>
    <t>Deferred Revenue BoP, mm</t>
  </si>
  <si>
    <t>Net increase in deferred revenue from new vehicle deliveries and reclassification of collateralized borrowing from long-term to short-term, mm</t>
  </si>
  <si>
    <t>Amortization of deferred revenue and short-term collateralized borrowing recorded in automotive leasing revenue, mm</t>
  </si>
  <si>
    <t>Recognition of deferred revenue resulting from return of vehicle under trade-in program, expiration, and exercises of resale value guarantee, mm</t>
  </si>
  <si>
    <t>Deferred Revenue EoP, mm</t>
  </si>
  <si>
    <t>Resale Value Guarantee Liability BoP, mm</t>
  </si>
  <si>
    <t>Increase in relate value guarantee, mm</t>
  </si>
  <si>
    <t>Reclassification from long-term to short-term collateralized borrowing, mm</t>
  </si>
  <si>
    <t>Release of resale value guarantee resulting from return of vehicle under trade-in program and exercises, mm</t>
  </si>
  <si>
    <t>Release of resale value guarantee resulting from expiration of resale value guarantee, mm</t>
  </si>
  <si>
    <t>Resale Value Guarantee Liability EoP, mm</t>
  </si>
  <si>
    <t>Key Metrics - Leased Vehicles Delivered (Historical)</t>
  </si>
  <si>
    <t>Vehicles Delivered (Leasing), vehicles</t>
  </si>
  <si>
    <t>Average per Unit Price of Vehicles Delivered (Leasing), k$/vehicle</t>
  </si>
  <si>
    <t>Calculated Aggregate value of vehicles delivered (Leasing), mm</t>
  </si>
  <si>
    <t>Model S and Model X leased vehicle growth, %</t>
  </si>
  <si>
    <t>Model S and Model X leased vehicle cumulative growth, %</t>
  </si>
  <si>
    <t>Key Metrics -Solar City Segment (Historical)</t>
  </si>
  <si>
    <t>Cumulative installed customers BOP, 000's customers</t>
  </si>
  <si>
    <t>Net Change, 000's customers</t>
  </si>
  <si>
    <t>Cumulative installed customers EOP, 000's customers</t>
  </si>
  <si>
    <t>Average cumulative installed customers, 000's customers</t>
  </si>
  <si>
    <t>Revenue per cumulative installed customers, $/000's customers</t>
  </si>
  <si>
    <t>Cumulative energy contracts, 000's contracts</t>
  </si>
  <si>
    <t>Cumulative megawatts deployed, MW</t>
  </si>
  <si>
    <t>Cumulative megawatts installed, MW</t>
  </si>
  <si>
    <t>Megawatts deployed, MW</t>
  </si>
  <si>
    <t>Residential MW installed, MW</t>
  </si>
  <si>
    <t>Commercial MW installed, MW</t>
  </si>
  <si>
    <t>Megawatts installed, MW</t>
  </si>
  <si>
    <t>Installation cost per watt, $/watt</t>
  </si>
  <si>
    <t>Sales cost per watt, $/watt</t>
  </si>
  <si>
    <t>G&amp;A cost per watt, $/watt</t>
  </si>
  <si>
    <t>Cost per watt, $/watt</t>
  </si>
  <si>
    <t>Contracted MW Deployed, MW</t>
  </si>
  <si>
    <t>Renewal MW Deployed, MW</t>
  </si>
  <si>
    <t>Value of MW Deployed, MW</t>
  </si>
  <si>
    <t>Asset Financing in Period, $/watt</t>
  </si>
  <si>
    <t>Margin Analysis</t>
  </si>
  <si>
    <t>COGS Margin (Excluding D&amp;A), %</t>
  </si>
  <si>
    <t>COGS Margin, %</t>
  </si>
  <si>
    <t>Gross Margin (Excluding D&amp;A), %</t>
  </si>
  <si>
    <t>Gross Margin, %</t>
  </si>
  <si>
    <t>Consensus Estimates - Gross Margin, %</t>
  </si>
  <si>
    <t>SG&amp;A Margin, %</t>
  </si>
  <si>
    <t>R&amp;D Margin, %</t>
  </si>
  <si>
    <t>EBITDA Margin, %</t>
  </si>
  <si>
    <t>Consensus Estimates - Adjusted EBITDA Margin, %</t>
  </si>
  <si>
    <t>Income Statement - As Reported</t>
  </si>
  <si>
    <t>Automotive</t>
  </si>
  <si>
    <t>Automotive leasing</t>
  </si>
  <si>
    <t>Energy generation and storage</t>
  </si>
  <si>
    <t>Services and other</t>
  </si>
  <si>
    <t>Research and development</t>
  </si>
  <si>
    <t>Selling, general and administrative</t>
  </si>
  <si>
    <t>Restructuring and other</t>
  </si>
  <si>
    <t>Interest income</t>
  </si>
  <si>
    <t>Interest expense</t>
  </si>
  <si>
    <t>Other income (expense), net</t>
  </si>
  <si>
    <t>Provision for income taxes</t>
  </si>
  <si>
    <t>Net loss</t>
  </si>
  <si>
    <t>Net income (loss) attributable to noncontrolling interests</t>
  </si>
  <si>
    <t>IS Check</t>
  </si>
  <si>
    <t>Adjusted Numbers - As Reported</t>
  </si>
  <si>
    <t>Net Loss</t>
  </si>
  <si>
    <t>Stock-based compensation expense</t>
  </si>
  <si>
    <t>Losses related to the SolarCity acquisition</t>
  </si>
  <si>
    <t>Acquisition related transaction costs</t>
  </si>
  <si>
    <t>Non-cash interest expense related to convertible notes and other</t>
  </si>
  <si>
    <t>Change in fair value of warrant liability</t>
  </si>
  <si>
    <t>Model S and Model X gross profit deferred due to lease accounting</t>
  </si>
  <si>
    <t>SBC relating to COGS</t>
  </si>
  <si>
    <t>SBC relating to R&amp;D</t>
  </si>
  <si>
    <t>SBC relating to SG&amp;A</t>
  </si>
  <si>
    <t>SBC related to restructuring and other</t>
  </si>
  <si>
    <t>Total SBC</t>
  </si>
  <si>
    <t>ZEV credit revenue recognized</t>
  </si>
  <si>
    <t>Revised Income Statement</t>
  </si>
  <si>
    <t>Net Revenue</t>
  </si>
  <si>
    <t>COGS</t>
  </si>
  <si>
    <t>Gross Profit</t>
  </si>
  <si>
    <t>SG&amp;A</t>
  </si>
  <si>
    <t>R&amp;D</t>
  </si>
  <si>
    <t>EBITDA</t>
  </si>
  <si>
    <t>Add back: D&amp;A</t>
  </si>
  <si>
    <t>Add back: SBC</t>
  </si>
  <si>
    <t>EBIT</t>
  </si>
  <si>
    <t>Other items</t>
  </si>
  <si>
    <t>One-time item</t>
  </si>
  <si>
    <t>EBT</t>
  </si>
  <si>
    <t>Current tax</t>
  </si>
  <si>
    <t>Deferred tax</t>
  </si>
  <si>
    <t>Net Income from Continued Operation</t>
  </si>
  <si>
    <t>Discontinued Operations</t>
  </si>
  <si>
    <t>Net Income to NCI</t>
  </si>
  <si>
    <t>Net Income to Common Shareholders</t>
  </si>
  <si>
    <t>Adjustments for Convertible Securities</t>
  </si>
  <si>
    <t>Diluted Net Income to Common Shareholders</t>
  </si>
  <si>
    <t>Non-GAAP Adjustments</t>
  </si>
  <si>
    <t>Non-GAAP Adjustments for Dilutive Securities</t>
  </si>
  <si>
    <t>Adjusted Net Income</t>
  </si>
  <si>
    <t>Current tax rate</t>
  </si>
  <si>
    <t>Deferred tax rate</t>
  </si>
  <si>
    <t>Earnings Per Share - WAB</t>
  </si>
  <si>
    <t>Earnings Per Share - WAD</t>
  </si>
  <si>
    <t>Adjusted Earnings Per Share - WAD</t>
  </si>
  <si>
    <t>Shares Outstanding - WAB</t>
  </si>
  <si>
    <t>Shares Outstanding - WAD</t>
  </si>
  <si>
    <t>Adjusted Shares Outstanding - WAD</t>
  </si>
  <si>
    <t>Cash Flow Summary</t>
  </si>
  <si>
    <t>Operating Cash Flow before WC</t>
  </si>
  <si>
    <t>Cash Flow Per Diluted Share</t>
  </si>
  <si>
    <t>Capex</t>
  </si>
  <si>
    <t>Acquisitions</t>
  </si>
  <si>
    <t>Divestiture</t>
  </si>
  <si>
    <t>Dividend Paid</t>
  </si>
  <si>
    <t>Dividend Per Share</t>
  </si>
  <si>
    <t>FCF, Pre Div</t>
  </si>
  <si>
    <t>FCF, Post Div Pre A/D</t>
  </si>
  <si>
    <t>FCF, Post Div Post A/D</t>
  </si>
  <si>
    <t>Balance Sheet Summary</t>
  </si>
  <si>
    <t>Cash</t>
  </si>
  <si>
    <t>Debt</t>
  </si>
  <si>
    <t>Net Debt</t>
  </si>
  <si>
    <t>Net Debt / EBITDA</t>
  </si>
  <si>
    <t>Net Debt / Cash Flow</t>
  </si>
  <si>
    <t>Valuation</t>
  </si>
  <si>
    <t>Avg</t>
  </si>
  <si>
    <t>Enterprise Value Components</t>
  </si>
  <si>
    <t>Noncontrolling Interest</t>
  </si>
  <si>
    <t>Preferred Shares</t>
  </si>
  <si>
    <t>Other EV Components</t>
  </si>
  <si>
    <t>Cumulative Cash Flow Statement</t>
  </si>
  <si>
    <t>CFO</t>
  </si>
  <si>
    <t>Depreciation and amortization</t>
  </si>
  <si>
    <t>Stock-based compensation</t>
  </si>
  <si>
    <t>Gain (loss) on acquisition of SolarCity</t>
  </si>
  <si>
    <t>Operating cash flow related to repayment of discounted convertible notes</t>
  </si>
  <si>
    <t>Inventory write-downs</t>
  </si>
  <si>
    <t>Amortization of debt discounts and issuance costs</t>
  </si>
  <si>
    <t>Amortization of Department of Energy (DOE) loan origination costs</t>
  </si>
  <si>
    <t>Change in fair value of DOE warrant liability</t>
  </si>
  <si>
    <t>Gain on extinguishment of convertible notes and warrants</t>
  </si>
  <si>
    <t>Fixed asset disposal</t>
  </si>
  <si>
    <t>Other non-cash operating activities</t>
  </si>
  <si>
    <t>Deferred taxes</t>
  </si>
  <si>
    <t>Foreign currency transaction (gain) loss</t>
  </si>
  <si>
    <t>Other</t>
  </si>
  <si>
    <t>CFO before WC</t>
  </si>
  <si>
    <t>Accounts receivable</t>
  </si>
  <si>
    <t>Inventories and operating lease vehicles</t>
  </si>
  <si>
    <t>Prepaid expenses and other current assets</t>
  </si>
  <si>
    <t>MyPower notes receivable</t>
  </si>
  <si>
    <t>Other assets</t>
  </si>
  <si>
    <t>Accounts payable and accrued liabilities</t>
  </si>
  <si>
    <t>Accrued liabilities</t>
  </si>
  <si>
    <t>Deferred development compensation</t>
  </si>
  <si>
    <t>Deferred revenue</t>
  </si>
  <si>
    <t>Customer deposits</t>
  </si>
  <si>
    <t>Resale value guarantee</t>
  </si>
  <si>
    <t>Other long-term liabilities</t>
  </si>
  <si>
    <t>Net CFO</t>
  </si>
  <si>
    <t>CFI</t>
  </si>
  <si>
    <t>Purchases of property and equipment excluding capital leases</t>
  </si>
  <si>
    <t>Payments of the cost of solar energy systems, leased and to be leased</t>
  </si>
  <si>
    <t>Withdrawals out of our dedicated DOE account, net</t>
  </si>
  <si>
    <t>(Increase) decrease in other restricted cash</t>
  </si>
  <si>
    <t>Purchases of short-term marketable securities</t>
  </si>
  <si>
    <t>Maturities of short-term marketable securities</t>
  </si>
  <si>
    <t>Business acquisition</t>
  </si>
  <si>
    <t>Proceeds from sale of property and equipment</t>
  </si>
  <si>
    <t>Net CFI</t>
  </si>
  <si>
    <t>CFF</t>
  </si>
  <si>
    <t>Net cash flows from debt activities</t>
  </si>
  <si>
    <t>Collateralized lease borrowing</t>
  </si>
  <si>
    <t>Net borrowings under Warehouse Agreements and automotive asset-backed notes</t>
  </si>
  <si>
    <t>Net cash flows from noncontrolling interests</t>
  </si>
  <si>
    <t>Proceeds from DOE loans</t>
  </si>
  <si>
    <t>Proceeds from issuance of convertible and other debt, net</t>
  </si>
  <si>
    <t>Proceeds from issuance of convertible preferred stock</t>
  </si>
  <si>
    <t>Proceeds from issuance of common stock in public offering</t>
  </si>
  <si>
    <t>Repayments of borrowings under solar bonds issued to related parties</t>
  </si>
  <si>
    <t>Repayments of convertible and other debt</t>
  </si>
  <si>
    <t>Proceeds from settlement of convertible note hedges</t>
  </si>
  <si>
    <t>Payment for settlements of warrants</t>
  </si>
  <si>
    <t>Proceeds from issuance of warrants</t>
  </si>
  <si>
    <t>Proceeds from exercise of stock options and other stock issuances</t>
  </si>
  <si>
    <t>Proceeds from issuance of common stock in private placement</t>
  </si>
  <si>
    <t>Principal payments on DOE loans</t>
  </si>
  <si>
    <t>Purchase of convertible note hedges</t>
  </si>
  <si>
    <t>Common stock and convertible debt issuance costs</t>
  </si>
  <si>
    <t>Principal payments on capital leases and other debt</t>
  </si>
  <si>
    <t>Dividends paid</t>
  </si>
  <si>
    <t>Proceeds from investment by NCI</t>
  </si>
  <si>
    <t>Payments for buy-outs of noncontrolling interests in subsidiaries</t>
  </si>
  <si>
    <t>Distributions paid to noncontrolling interests in subsidiaries</t>
  </si>
  <si>
    <t>Net CFF</t>
  </si>
  <si>
    <t>FX</t>
  </si>
  <si>
    <t>Net Change in Cash Balance</t>
  </si>
  <si>
    <t>Beginning Cash Balance</t>
  </si>
  <si>
    <t>Ending Cash Balance</t>
  </si>
  <si>
    <t>Cash Flow Statement</t>
  </si>
  <si>
    <t>CF Check</t>
  </si>
  <si>
    <t>Working Capital Forecasting</t>
  </si>
  <si>
    <t>Accounts receivable, % of LTM Sales</t>
  </si>
  <si>
    <t>Inventory, % of LTM Sales</t>
  </si>
  <si>
    <t>Prepaid expenses and other current assets, % of LTM Sales</t>
  </si>
  <si>
    <t>Accounts payable, % of LTM Sales</t>
  </si>
  <si>
    <t>Customer deposits, % of LTM Sales</t>
  </si>
  <si>
    <t>Deferred revenue, % of LTM Sales</t>
  </si>
  <si>
    <t>Accounts receivable, Y/Y Change, %</t>
  </si>
  <si>
    <t>Inventory, Y/Y Change, %</t>
  </si>
  <si>
    <t>Prepaid expenses and other current assets, Y/Y Change, %</t>
  </si>
  <si>
    <t>Accounts payable, Y/Y Change, %</t>
  </si>
  <si>
    <t>Customer deposits, Y/Y Change, %</t>
  </si>
  <si>
    <t>Deferred revenue, Y/Y Change, %</t>
  </si>
  <si>
    <t>Balance Sheet</t>
  </si>
  <si>
    <t>Current Assets</t>
  </si>
  <si>
    <t>Cash and cash equivalents</t>
  </si>
  <si>
    <t>Short-term marketable securities</t>
  </si>
  <si>
    <t>Restricted cash and marketable securities</t>
  </si>
  <si>
    <t>Inventory</t>
  </si>
  <si>
    <t>Total Current Assets</t>
  </si>
  <si>
    <t>Non-Current Assets</t>
  </si>
  <si>
    <t>Operating lease vehicles, net</t>
  </si>
  <si>
    <t>Solar energy systems, leased and to be leased, net</t>
  </si>
  <si>
    <t>Property, plant and equipment, net</t>
  </si>
  <si>
    <t>Intangible assets, net</t>
  </si>
  <si>
    <t>Goodwill</t>
  </si>
  <si>
    <t>MyPower customer notes receivable, net of current portion</t>
  </si>
  <si>
    <t>Restricted cash</t>
  </si>
  <si>
    <t>Total Non-Current Assets</t>
  </si>
  <si>
    <t>Total Assets</t>
  </si>
  <si>
    <t>Current Liabilities</t>
  </si>
  <si>
    <t>Accounts payable</t>
  </si>
  <si>
    <t>Capital lease obligations</t>
  </si>
  <si>
    <t>Resale value guarantees</t>
  </si>
  <si>
    <t>Current portion of long-term debt and capital leases</t>
  </si>
  <si>
    <t>Current portion of solar bonds issued to related parties</t>
  </si>
  <si>
    <t>Total Current Liabilities</t>
  </si>
  <si>
    <t>Non-Current Liabilities</t>
  </si>
  <si>
    <t>Common stock warrant liability</t>
  </si>
  <si>
    <t>Long-term debt and capital leases</t>
  </si>
  <si>
    <t>Solar bonds issued to related parties, net of current portion</t>
  </si>
  <si>
    <t>Long-term debt, less current portion</t>
  </si>
  <si>
    <t>Convertible senior notes, less current portion</t>
  </si>
  <si>
    <t>Convertible senior notes</t>
  </si>
  <si>
    <t>Redeemable noncontrolling interest in subsidiaries</t>
  </si>
  <si>
    <t>Total Non-Current liabilities</t>
  </si>
  <si>
    <t>Total Liabilities</t>
  </si>
  <si>
    <t>Shareholders' Equity</t>
  </si>
  <si>
    <t>Preferred stock</t>
  </si>
  <si>
    <t>Common stock</t>
  </si>
  <si>
    <t>Additional paid-in capital</t>
  </si>
  <si>
    <t>Accumulated other comprehensive loss</t>
  </si>
  <si>
    <t>Accumulated deficit</t>
  </si>
  <si>
    <t>Total SE</t>
  </si>
  <si>
    <t>NCI</t>
  </si>
  <si>
    <t>Total Liabilities &amp; SE</t>
  </si>
  <si>
    <t>BS Check</t>
  </si>
  <si>
    <t>Model Checks</t>
  </si>
  <si>
    <t>Net Income on Revised IS = NI on CF statement</t>
  </si>
  <si>
    <t>Net Income on Reported IS = NI on Revised</t>
  </si>
  <si>
    <t>Segmented Revenue = Revenue</t>
  </si>
  <si>
    <t>Cash Flow is not Repeated</t>
  </si>
  <si>
    <t>Income Statement is not Repeated</t>
  </si>
  <si>
    <t>Balance Sheet is not Repeated</t>
  </si>
  <si>
    <t>Ending CF = Ending Cumulative CF</t>
  </si>
  <si>
    <t>Capex is Updated</t>
  </si>
  <si>
    <t>Margin is Updated</t>
  </si>
  <si>
    <t>Adjusted Numbers FY = Sum of Qs</t>
  </si>
  <si>
    <t>*Cash Flow Summary Signs are Correct</t>
  </si>
  <si>
    <t>*RIS NI FY = Sum of Qs</t>
  </si>
  <si>
    <t>*RIS Adjusted NI FY = Sum of Qs</t>
  </si>
  <si>
    <t>*CFO Before WC subtotal FY = Sum of Qs</t>
  </si>
  <si>
    <t>*CFO subtotal FY = Sum of Qs</t>
  </si>
  <si>
    <t>*CFI subtotal FY = Sum of Qs</t>
  </si>
  <si>
    <t>*CFF subtotal FY = Sum of Qs</t>
  </si>
  <si>
    <t>*CF Summary FY = Sum of Qs</t>
  </si>
  <si>
    <t>Other Tables</t>
  </si>
  <si>
    <t>Ticker Symbol</t>
  </si>
  <si>
    <t>TSLA US</t>
  </si>
  <si>
    <t>NASDAQ:TSLA</t>
  </si>
  <si>
    <t>TSLA-US</t>
  </si>
  <si>
    <t>TSLA.OQ</t>
  </si>
  <si>
    <t>Valuation Toggle Table</t>
  </si>
  <si>
    <t>High</t>
  </si>
  <si>
    <t>Low</t>
  </si>
  <si>
    <t>Consensus Estimate Table</t>
  </si>
  <si>
    <t>FY or FQ</t>
  </si>
  <si>
    <t>Period</t>
  </si>
  <si>
    <t>Stock Price Table</t>
  </si>
  <si>
    <t>Fiscal Period Start Date</t>
  </si>
  <si>
    <t>Is Historical Period</t>
  </si>
  <si>
    <t>Real-Time Off Source</t>
  </si>
  <si>
    <t>Capital IQ</t>
  </si>
  <si>
    <t>FactSet</t>
  </si>
  <si>
    <t>General Table</t>
  </si>
  <si>
    <t>Last Price</t>
  </si>
  <si>
    <t>Last Price Date</t>
  </si>
  <si>
    <t>Real-Time Stock Price</t>
  </si>
  <si>
    <t>Last Price Formula</t>
  </si>
  <si>
    <t>Trade Currency</t>
  </si>
  <si>
    <t>Trade Currency Hardcoded</t>
  </si>
  <si>
    <t>Model Sheet Currency Hardcoded</t>
  </si>
  <si>
    <t>Most Recent FX</t>
  </si>
  <si>
    <t>Most Recent FX Hardcoded</t>
  </si>
  <si>
    <t>MRFP Column Number</t>
  </si>
  <si>
    <t>Most Recent Fiscal Period (MRFP)</t>
  </si>
  <si>
    <t>Current Fiscal Year</t>
  </si>
  <si>
    <t>Data Source Index</t>
  </si>
  <si>
    <t>Guidance</t>
  </si>
  <si>
    <t>Model</t>
  </si>
  <si>
    <t>Difference vs. Mid</t>
  </si>
  <si>
    <t>Update Log</t>
  </si>
  <si>
    <t>Type</t>
  </si>
  <si>
    <t>Item</t>
  </si>
  <si>
    <t>Item Name</t>
  </si>
  <si>
    <t>Fiscal Period</t>
  </si>
  <si>
    <t>Mid</t>
  </si>
  <si>
    <t>Output</t>
  </si>
  <si>
    <t>Absolute</t>
  </si>
  <si>
    <t>Relative</t>
  </si>
  <si>
    <t>Date</t>
  </si>
  <si>
    <t>Link</t>
  </si>
  <si>
    <t>Model 3 Gross Margin</t>
  </si>
  <si>
    <t>FY2019</t>
  </si>
  <si>
    <t>Press Release</t>
  </si>
  <si>
    <t>z_GMEG0H0133_MO_OS_totaldeliveries</t>
  </si>
  <si>
    <t>MO_CFSum_Capex</t>
  </si>
  <si>
    <t>z_GMEG0H0133_MO_OS_totalmodelsandmodelxcarsdelivered</t>
  </si>
  <si>
    <t>Q2-2019</t>
  </si>
  <si>
    <t>Q1-2019</t>
  </si>
  <si>
    <t>FY2018</t>
  </si>
  <si>
    <t>N/A</t>
  </si>
  <si>
    <t>Model 3 Gross Margin, %</t>
  </si>
  <si>
    <t>Q4-2018</t>
  </si>
  <si>
    <t>MO_RIS_NCI</t>
  </si>
  <si>
    <t>Q3-2018</t>
  </si>
  <si>
    <t>MO_RIS_IE</t>
  </si>
  <si>
    <t>Model 3 Cars Produced, # of cars</t>
  </si>
  <si>
    <t>Q2-2018</t>
  </si>
  <si>
    <t>Q1-2018</t>
  </si>
  <si>
    <t>Reports</t>
  </si>
  <si>
    <t>Capitalization Summary</t>
  </si>
  <si>
    <t>Company-Specific Operational Data</t>
  </si>
  <si>
    <t>GAAP Financials</t>
  </si>
  <si>
    <t>Other Items</t>
  </si>
  <si>
    <t>Tax</t>
  </si>
  <si>
    <t>GAAP EPS</t>
  </si>
  <si>
    <t>Non-GAAP Financials</t>
  </si>
  <si>
    <t>Cash Flow Analysis</t>
  </si>
  <si>
    <t>Core FCF, Pre Div</t>
  </si>
  <si>
    <t>Core FCF, Post Div</t>
  </si>
  <si>
    <t>Change in WC</t>
  </si>
  <si>
    <t>New Equity Issuance</t>
  </si>
  <si>
    <t>New Debt Issuance</t>
  </si>
  <si>
    <t>Change in Cash Position</t>
  </si>
  <si>
    <t>Operating Cash Flow Per Share</t>
  </si>
  <si>
    <t>Core Free Cash Flow Per Share, Pre Div</t>
  </si>
  <si>
    <t>Dividend Payout Ratio vs Core FCF, Pre Div</t>
  </si>
  <si>
    <t>Dividend Payout Ratio vs Earnings Per Share</t>
  </si>
  <si>
    <t>Balance Sheet Ratios</t>
  </si>
  <si>
    <t>Net Debt / Capital</t>
  </si>
  <si>
    <t>LTM EBITDA</t>
  </si>
  <si>
    <t>LTM Cash Flow</t>
  </si>
  <si>
    <t>Profitability Ratios</t>
  </si>
  <si>
    <t>Net Income</t>
  </si>
  <si>
    <t>LTM Net Income</t>
  </si>
  <si>
    <t>Shareholder's Equity</t>
  </si>
  <si>
    <t>Average Shareholder's Equity</t>
  </si>
  <si>
    <t>ROE</t>
  </si>
  <si>
    <t>LTM Net Operating Profit</t>
  </si>
  <si>
    <t>Average Total Assets</t>
  </si>
  <si>
    <t>Total Debt</t>
  </si>
  <si>
    <t>Average Book Value of Debt</t>
  </si>
  <si>
    <t>Average Invested Capital</t>
  </si>
  <si>
    <t>ROIC</t>
  </si>
  <si>
    <t>LTM EBIT</t>
  </si>
  <si>
    <t>Average Current Liabilities</t>
  </si>
  <si>
    <t>Average Capital Employed</t>
  </si>
  <si>
    <t>ROCE</t>
  </si>
  <si>
    <t>Per-Share Growth Metrics</t>
  </si>
  <si>
    <t>Revenue Per Share Growth</t>
  </si>
  <si>
    <t>Adj. EBITDA Per Share Growth</t>
  </si>
  <si>
    <t>Adj. Earnings Per Share Growth</t>
  </si>
  <si>
    <t>Operating Cash Flow Per Share Growth</t>
  </si>
  <si>
    <t>Free Cash Flow Per Share Growth</t>
  </si>
  <si>
    <t>Valuation Metrics</t>
  </si>
  <si>
    <t>Check</t>
  </si>
  <si>
    <t>Adjusted EBITDA</t>
  </si>
  <si>
    <t>Non GAAP NI</t>
  </si>
  <si>
    <t>GAAP NI</t>
  </si>
  <si>
    <t>Change in Cash Summary = Change in Cash Model</t>
  </si>
  <si>
    <t>Update Date</t>
  </si>
  <si>
    <t>Updated By (Initials)</t>
  </si>
  <si>
    <t>Update Type</t>
  </si>
  <si>
    <t>Special Comments</t>
  </si>
  <si>
    <t>Link to Press Release / News Item</t>
  </si>
  <si>
    <t>AP JL</t>
  </si>
  <si>
    <t>Earnings Press Release</t>
  </si>
  <si>
    <t>LX</t>
  </si>
  <si>
    <t>Q2-2016</t>
  </si>
  <si>
    <t>AlD</t>
  </si>
  <si>
    <t>ThM &amp; SL</t>
  </si>
  <si>
    <t>AV &amp; ThM</t>
  </si>
  <si>
    <t>IT &amp; ML</t>
  </si>
  <si>
    <t>FY2017</t>
  </si>
  <si>
    <t>EA &amp; DC</t>
  </si>
  <si>
    <t>Q3-2017</t>
  </si>
  <si>
    <t>JH</t>
  </si>
  <si>
    <t>Model Improvement</t>
  </si>
  <si>
    <t>JK</t>
  </si>
  <si>
    <t>Q2-2017</t>
  </si>
  <si>
    <t>Q1-2017</t>
  </si>
  <si>
    <t>Q4-2016</t>
  </si>
  <si>
    <t>JP</t>
  </si>
  <si>
    <t>Q3-2016</t>
  </si>
  <si>
    <t>TK</t>
  </si>
  <si>
    <t>New Build</t>
  </si>
  <si>
    <t>RE</t>
  </si>
  <si>
    <t>Annual (Earnings Report)</t>
  </si>
  <si>
    <r>
      <rPr>
        <b/>
        <sz val="7"/>
        <color rgb="FF000000"/>
        <rFont val="Calibri"/>
        <family val="2"/>
        <scheme val="minor"/>
      </rPr>
      <t>DISCLAIMER</t>
    </r>
    <r>
      <rPr>
        <sz val="7"/>
        <color rgb="FF000000"/>
        <rFont val="Calibri"/>
        <family val="2"/>
        <scheme val="minor"/>
      </rPr>
      <t xml:space="preserve">
Access to and use of this model, including the data contained herein (this "Model") is subject to Canalyst Financial Modeling Corporation's ("Company") Terms of Use that you accepted prior to accessing this Model, the applicable Service Agreement between the Company and you (or a corporate entity that has authorized you to access and use this Model on its behalf in accordance with the terms of such Service Agreement) or other similar agreement between you and the Company. BY CONTINUING TO ACCESS OR USE THIS MODEL, YOU EXPRESSLY AGREE TO THE TERMS AND CONDITIONS OF SUCH AGREEMENTS.
</t>
    </r>
    <r>
      <rPr>
        <b/>
        <sz val="7"/>
        <color rgb="FF000000"/>
        <rFont val="Calibri"/>
        <family val="2"/>
        <scheme val="minor"/>
      </rPr>
      <t>The Company and certain of its licensors have exclusive proprietary rights in this Model. This Model is being provided for internal use only. Unless prior written consent by the Company and its licensors has been provided to you, you may not distribute or otherwise furnish this Model to any third party, nor use or permit anyone to use this Model for any unlawful or unauthorized purpose. IF YOU HAVE UNLAWFULLY OBTAINED, OR ARE NOT AUTHORIZED TO USE THIS MODEL, YOU ARE OBLIGATED TO PROMPTLY: (I) RETURN THIS MODEL (AND ANY DERIVATIVE WORKS ARISING FROM OR RELATING THERETO) TO THE AUTHORIZED USER OF THIS MODEL; (II) PROVIDE NOTICE TO THE COMPANY AT LEGAL@CANALYST.COM OF SUCH UNLAWFUL OR UNAUTHORIZED ACCESS AND USE; AND, (III) CERTIFY THAT YOU HAVE DESTROYED THIS MODEL (AND ANY DERIVATIVE WORKS ARISING FROM OR RELATING THERETO) AND ANY COPIES FROM YOUR SYSTEMS SO AS TO ENSURE THEY ARE INCAPABLE OF RETRIEVAL.</t>
    </r>
    <r>
      <rPr>
        <sz val="7"/>
        <color rgb="FF000000"/>
        <rFont val="Calibri"/>
        <family val="2"/>
        <scheme val="minor"/>
      </rPr>
      <t xml:space="preserve">
A portion of the data contained in this Model may be powered by third party contributors and their respective licensors, or derived from data provided by such contributors, including (but not limited to): (i) </t>
    </r>
    <r>
      <rPr>
        <b/>
        <sz val="7"/>
        <color rgb="FF000000"/>
        <rFont val="Calibri"/>
        <family val="2"/>
        <scheme val="minor"/>
      </rPr>
      <t>QuoteMedia Inc.</t>
    </r>
    <r>
      <rPr>
        <sz val="7"/>
        <color rgb="FF000000"/>
        <rFont val="Calibri"/>
        <family val="2"/>
        <scheme val="minor"/>
      </rPr>
      <t xml:space="preserve">: A portion of the market data is powered by Quotemedia.com. All rights reserved. Data delayed 15 minutes unless otherwise indicated; (ii) </t>
    </r>
    <r>
      <rPr>
        <b/>
        <sz val="7"/>
        <color rgb="FF000000"/>
        <rFont val="Calibri"/>
        <family val="2"/>
        <scheme val="minor"/>
      </rPr>
      <t>S&amp;P Global Market Intelligence LLC</t>
    </r>
    <r>
      <rPr>
        <sz val="7"/>
        <color rgb="FF000000"/>
        <rFont val="Calibri"/>
        <family val="2"/>
        <scheme val="minor"/>
      </rPr>
      <t xml:space="preserve">: Copyright (c) 2020 S&amp;P Global Market Intelligence LLC (and its affiliates as applicable). All rights reserved. Reproduction of any information, opinions, views, data or material, including ratings ("Content") in any form is prohibited except with the prior written permission of the relevant party. Such party, its affiliates and suppliers ("Content Providers") do not guarantee the accuracy, adequacy, completeness, timeliness or availability of any Content and are not responsible for any errors or omissions (negligent or otherwise), regardless of the cause, or for the results obtained from the use of such Content. In no event shall Content Providers be liable for any damages, costs, expenses, legal fees, or losses (including lost income or lost profit and opportunity costs) in connection with any use of the Content. A reference to a particular investment or security, a rating or any observation concerning an investment that is part of the Content is not a recommendation to buy, sell or hold such investment or security, does not address the suitability of an investment or security and should not be relied on as investment advice. Credit ratings are statements of opinions and are not statements of fact; and, (iii) </t>
    </r>
    <r>
      <rPr>
        <b/>
        <sz val="7"/>
        <color rgb="FF000000"/>
        <rFont val="Calibri"/>
        <family val="2"/>
        <scheme val="minor"/>
      </rPr>
      <t>Refinitiv Canada Holdings Limited</t>
    </r>
    <r>
      <rPr>
        <sz val="7"/>
        <color rgb="FF000000"/>
        <rFont val="Calibri"/>
        <family val="2"/>
        <scheme val="minor"/>
      </rPr>
      <t xml:space="preserve">: A portion of the information may be provided by or derived from data provided by Refinitiv.
By accessing or using this Model (including any portion of the data contained herein) you expressly represent that such access or use does not constitute a violation of any applicable law or regulation to which you or the securities are subject.
This Model does not constitute investment advice by the Company or any of its licensors. Reference to a particular investment or security, credit rating or any observation concerning a security or investment in this Model is not a recommendation or solicitation to buy, sell or hold such investment or security or make any other investment decisions. For greater certainty, any forecasts or forward-looking information expressed herein are for illustrative purposes only and do not purport to express any view on what may transpire. Neither the Company nor any of its licensors have performed company-specific research on any projected information, as such, it is your responsibility to express your own views on projected results. This Model does not guarantee future performance and undue reliance should not be placed on such. You are solely responsible for evaluating the merits and risks of any investment based on your own business and financial expertise, the business and financial expertise of professional advisors with whom you have consulted, your financial situation and risk tolerance. Neither the Company, nor any of its licensors, undertake any liability with respect to your reliance on this Model.
This Model is a quantitative tool with no investment views. The Company and its respective directors, officers, employees, agents, contractors, and affiliates may hold long or short positions in the security to which this Model relates, based on their personal views, and may initiate or close out any positions in such security at any time without any notice.
</t>
    </r>
    <r>
      <rPr>
        <b/>
        <sz val="7"/>
        <color rgb="FF000000"/>
        <rFont val="Calibri"/>
        <family val="2"/>
        <scheme val="minor"/>
      </rPr>
      <t>THIS MODEL IS PROVIDED "AS IS" AND ON AN "AS AVAILABLE" BASIS ONLY, WITHOUT WARRANTIES OR CONDITIONS OF ANY KIND. NEITHER THE COMPANY NOR ANY OF ITS LICENSORS NOR THEIR RESPECTIVE AFFILIATES OR SUPPLIERS HAVE LIABILITY FOR THE ACCURACY, TIMELINESS OR COMPLETENESS OF THIS MODEL, OR FOR DELAYS, INTERRUPTIONS OR OMISSIONS HEREIN, NOR FOR ANY LOST PROFITS, INDIRECT, SPECIAL OR CONSEQUENTIAL DAMAGES.</t>
    </r>
    <r>
      <rPr>
        <sz val="7"/>
        <color rgb="FF000000"/>
        <rFont val="Calibri"/>
        <family val="2"/>
        <scheme val="minor"/>
      </rPr>
      <t xml:space="preserve"> Access to data in this Model that is sourced from third party contributors is subject to termination in the event that any agreement between the Company and such third party contributors terminates for any reason.
</t>
    </r>
    <r>
      <rPr>
        <b/>
        <sz val="7"/>
        <color rgb="FF000000"/>
        <rFont val="Calibri"/>
        <family val="2"/>
        <scheme val="minor"/>
      </rPr>
      <t>(c) 2015-2021 Canalyst. All rights reserved.</t>
    </r>
  </si>
  <si>
    <t>MO_MA_GM</t>
  </si>
  <si>
    <t>Residential solar cash &amp; loan, %</t>
  </si>
  <si>
    <t>Supercharger stations, #</t>
  </si>
  <si>
    <t>Supercharger connectors, #</t>
  </si>
  <si>
    <t>Destination charger connectors, #</t>
  </si>
  <si>
    <t>AP</t>
  </si>
  <si>
    <t>Preferred stock dividends and other securities</t>
  </si>
  <si>
    <t>Gain/loss adjustment relating to cash paid to stakeholders of NCI</t>
  </si>
  <si>
    <t>Most Recent Period:</t>
  </si>
  <si>
    <t>Additional deferred revenue recorded in automotive leasing revenue as a result of early cancellation of resale value guarantee, mm</t>
  </si>
  <si>
    <t>Additional resale revenue recorded in automotive leasing revenue as a result of early cancellation of resale value guarantee, mm</t>
  </si>
  <si>
    <t>Changes in operating assets and liabilities</t>
  </si>
  <si>
    <t>Purchase of intangible assets</t>
  </si>
  <si>
    <t>Operating lease right-of-use assets</t>
  </si>
  <si>
    <t>First Forecast Fiscal Year</t>
  </si>
  <si>
    <t>NOPAT</t>
  </si>
  <si>
    <t>After-tax ROA</t>
  </si>
  <si>
    <t>Q3-2019</t>
  </si>
  <si>
    <t>Initial (Press Release)</t>
  </si>
  <si>
    <t>AZ</t>
  </si>
  <si>
    <t>Warranty costs incurred, mm</t>
  </si>
  <si>
    <t>Net changes in liability for pre-existing warranties, including expirations and foreign exchange impact, mm</t>
  </si>
  <si>
    <t>Additional warranty accrued from adoption of the new revenue standard, mm</t>
  </si>
  <si>
    <t>Provision for warranty, mm</t>
  </si>
  <si>
    <t>Assumed warranty liability from acquisition, mm</t>
  </si>
  <si>
    <t>Most Recent Period</t>
  </si>
  <si>
    <t>Quarterly (Earnings Report)</t>
  </si>
  <si>
    <t>Receipt of government grants</t>
  </si>
  <si>
    <t>FY2020</t>
  </si>
  <si>
    <t>Model 3 and Model Y cars delivered, units</t>
  </si>
  <si>
    <t>Model 3 and Model Y production capacity</t>
  </si>
  <si>
    <t>Q1-2020</t>
  </si>
  <si>
    <t>Q2-2020</t>
  </si>
  <si>
    <t>Key Outputs</t>
  </si>
  <si>
    <t>FY2022</t>
  </si>
  <si>
    <t>10-Q</t>
  </si>
  <si>
    <t>FY2021</t>
  </si>
  <si>
    <t>Repurchases of common stock</t>
  </si>
  <si>
    <t>Interest Expense</t>
  </si>
  <si>
    <t>Effective Interest Rate on Debt</t>
  </si>
  <si>
    <t>Interest Income</t>
  </si>
  <si>
    <t>Effective Interest Rate on Cash</t>
  </si>
  <si>
    <t>Net Interest Expense (Income)</t>
  </si>
  <si>
    <t>Effective Net Interest Rate on Debt</t>
  </si>
  <si>
    <t>EBITDA / Net Interest Expense</t>
  </si>
  <si>
    <t>ST Debt</t>
  </si>
  <si>
    <t>LT Debt</t>
  </si>
  <si>
    <t>Net Debt Issuance (Repayment)</t>
  </si>
  <si>
    <t>Cash is Positive</t>
  </si>
  <si>
    <t>Debt is Positive</t>
  </si>
  <si>
    <t>Net Share Issuance (Buybacks)</t>
  </si>
  <si>
    <t>Estimated Share Price for Issuance/Buybacks, USD</t>
  </si>
  <si>
    <t>FCF, Post Div, Debt, Buyback, A/D</t>
  </si>
  <si>
    <t>United States revenue, mm</t>
  </si>
  <si>
    <t>China revenue, mm</t>
  </si>
  <si>
    <t>Other revenue, mm</t>
  </si>
  <si>
    <t>Model S/X deliveries subject to lease accounting, units</t>
  </si>
  <si>
    <t>Model 3/Y deliveries subject to lease accounting, units</t>
  </si>
  <si>
    <t>Model S/X production, units</t>
  </si>
  <si>
    <t>Model 3/Y production, units</t>
  </si>
  <si>
    <t>Total Production, units</t>
  </si>
  <si>
    <t>Operating Stats - Production and Capacity (PR)</t>
  </si>
  <si>
    <t>Model S / Model X capacity utilization, %</t>
  </si>
  <si>
    <t>Model 3 / Model Y capacity utilization, %</t>
  </si>
  <si>
    <t>Model S / Model X annual production capacity in Fremont, units</t>
  </si>
  <si>
    <t>Model 3 / Model Y annual production capacity in Fremont, units</t>
  </si>
  <si>
    <t>Store and service locations, #</t>
  </si>
  <si>
    <t>Mobile service fleet, #</t>
  </si>
  <si>
    <t>Netherlands revenue, mm</t>
  </si>
  <si>
    <t>Norway revenue, mm</t>
  </si>
  <si>
    <t>Other international revenue, mm</t>
  </si>
  <si>
    <t>Model S/X sold under lease accounting, %</t>
  </si>
  <si>
    <t>Model 3/Y sold under lease accounting, %</t>
  </si>
  <si>
    <t>Model S/X deliveries mix, %</t>
  </si>
  <si>
    <t>Model 3/Y deliveries mix, %</t>
  </si>
  <si>
    <t>Total Deliveries Mix, %</t>
  </si>
  <si>
    <t>Trucks delivered, units</t>
  </si>
  <si>
    <t>Trucks deliveries mix, %</t>
  </si>
  <si>
    <t>Key Metrics - Support Network (PR)</t>
  </si>
  <si>
    <t>RZ</t>
  </si>
  <si>
    <t>Canalyst</t>
  </si>
  <si>
    <t>Q3-2020</t>
  </si>
  <si>
    <t>Net borrowings under vehicle and solar financing</t>
  </si>
  <si>
    <t>JeL</t>
  </si>
  <si>
    <t>Depreciation expense</t>
  </si>
  <si>
    <t>Amortization of intangibles</t>
  </si>
  <si>
    <t>Amortization of solar energy systems</t>
  </si>
  <si>
    <t>Other D&amp;A and impairment expense</t>
  </si>
  <si>
    <t>D&amp;A Forecasting</t>
  </si>
  <si>
    <t>PP&amp;E EoP, mm</t>
  </si>
  <si>
    <t>PP&amp;E BoP, mm</t>
  </si>
  <si>
    <t>Depreciation of fixed assets, mm</t>
  </si>
  <si>
    <t>Depreciation as percentage of PP&amp;E BoP, %</t>
  </si>
  <si>
    <t>Capex of PP&amp;E, mm</t>
  </si>
  <si>
    <t>Other net additions to PP&amp;E, mm</t>
  </si>
  <si>
    <t>Intangibles EoP, mm</t>
  </si>
  <si>
    <t>Intangibles BoP, mm</t>
  </si>
  <si>
    <t>Amortization of intangibles, mm</t>
  </si>
  <si>
    <t>Amortization as percentage of Intangibles BoP, %</t>
  </si>
  <si>
    <t>Capex of intangibles, mm</t>
  </si>
  <si>
    <t>Other net additions to intangibles, mm</t>
  </si>
  <si>
    <t>Implied life of fixed assets, yr</t>
  </si>
  <si>
    <t>Implied life of intangibles, yr</t>
  </si>
  <si>
    <t>Total D&amp;A, mm</t>
  </si>
  <si>
    <t>Total Capex, mm</t>
  </si>
  <si>
    <t>Percentage of capex allocated to intangible assets, %</t>
  </si>
  <si>
    <t>Refinitiv</t>
  </si>
  <si>
    <t>KK</t>
  </si>
  <si>
    <t>ON</t>
  </si>
  <si>
    <t>Accrued liabilities and other</t>
  </si>
  <si>
    <t>Accrued liabilities and other, % of LTM Sales</t>
  </si>
  <si>
    <t>Accrued liabilities and other, Y/Y Change, %</t>
  </si>
  <si>
    <t>Model 3 / Model Y annual production capacity in Shanghai, units</t>
  </si>
  <si>
    <t>10-K</t>
  </si>
  <si>
    <t>FY2023</t>
  </si>
  <si>
    <t>Other long-term liabilities, excluding resale value guarantees</t>
  </si>
  <si>
    <t>Roadster deliveries mix, %</t>
  </si>
  <si>
    <t>North America revenue, mm</t>
  </si>
  <si>
    <t>Europe revenue, mm</t>
  </si>
  <si>
    <t>Asia revenue, mm</t>
  </si>
  <si>
    <t>Total Tesla Annual Production Capacity, units</t>
  </si>
  <si>
    <t>Q1-2021</t>
  </si>
  <si>
    <t>Dilutive convertible debt</t>
  </si>
  <si>
    <t>Digital assets, net</t>
  </si>
  <si>
    <t>Purchases of digital assets</t>
  </si>
  <si>
    <t>Proceeds from sales of digital assets</t>
  </si>
  <si>
    <t>z_GMEG0H0133_MO_OS_GrowthinTotalDeliveries</t>
  </si>
  <si>
    <t>Digital assets gain, net</t>
  </si>
  <si>
    <t>Debt issuance costs</t>
  </si>
  <si>
    <t>Segmented Results - Revenue Breakdown by Geography (Historical)</t>
  </si>
  <si>
    <t>Key Metrics - Lease Cost and Rent Expense (FS)</t>
  </si>
  <si>
    <t>Cash paid during the period for interest, net of amounts capitalized</t>
  </si>
  <si>
    <t>Cash paid during the period for taxes, net of refunds</t>
  </si>
  <si>
    <t>Operating lease expense, mm</t>
  </si>
  <si>
    <t>Total finance lease expense, mm</t>
  </si>
  <si>
    <t>Amortization of leased assets, mm</t>
  </si>
  <si>
    <t>Interest on lease liabilities, mm</t>
  </si>
  <si>
    <t>Q2-2021</t>
  </si>
  <si>
    <t>EM</t>
  </si>
  <si>
    <t>Non-cash interest and other operating activities</t>
  </si>
  <si>
    <t>Implied Price Per Delivery, k$/delivery</t>
  </si>
  <si>
    <t>Global Inventory, days of supply</t>
  </si>
  <si>
    <t>Total Deliveries subject to Lease Accounting, units</t>
  </si>
  <si>
    <t>Accrued Warranty BoP, mm</t>
  </si>
  <si>
    <t>Accrued Warranty EoP, mm</t>
  </si>
  <si>
    <t>Total Lease Expense, mm</t>
  </si>
  <si>
    <t>Rent Expense, mm</t>
  </si>
  <si>
    <t>Automotive leasing revenue mix, %</t>
  </si>
  <si>
    <t>Services and other revenue mix, %</t>
  </si>
  <si>
    <t>Energy generation and storage revenue mix, %</t>
  </si>
  <si>
    <t>Automotive revenue mix, %</t>
  </si>
  <si>
    <t>Total Revenue Mix, %</t>
  </si>
  <si>
    <t>Operating lease vehicles</t>
  </si>
  <si>
    <t>Automotive sales without resale value guarantee, mm</t>
  </si>
  <si>
    <t>Automotive sales with resale value guarantee, mm</t>
  </si>
  <si>
    <t>Key Metrics - Accrued Warranty (FS)</t>
  </si>
  <si>
    <t>Automotive sales, mm</t>
  </si>
  <si>
    <t>Accumulated depreciation, mm</t>
  </si>
  <si>
    <t>Net Operating Lease Vehicles, mm</t>
  </si>
  <si>
    <t>Gross Cost of Operating Lease Vehicles, mm</t>
  </si>
  <si>
    <t>Automotive Leasing Revenue, mm</t>
  </si>
  <si>
    <t>Change in accumulated depreciation for leased vehicles, mm</t>
  </si>
  <si>
    <t>Automotive leasing COGS excl. D&amp;A, mm</t>
  </si>
  <si>
    <t>Automotive Leasing Gross Profit, mm</t>
  </si>
  <si>
    <t>Automotive Leasing Gross Margin, %</t>
  </si>
  <si>
    <t>Operating Lease Vehicle Count - BoP, units</t>
  </si>
  <si>
    <t>Operating Lease Vehicle Count - EoP, units</t>
  </si>
  <si>
    <t>Cancellation to operating lease vehicles balance, units</t>
  </si>
  <si>
    <t>Addition to operating lease vehicles balance, units</t>
  </si>
  <si>
    <t>Operating Lease Vehicle Count - Avg, units</t>
  </si>
  <si>
    <t>Cancellation as % of BoP operating lease vehicles (annualized), %</t>
  </si>
  <si>
    <t>Gross cost per operating lease vehicle, k$/unit</t>
  </si>
  <si>
    <t>Key Metrics - Revenue Breakdown by Geography (FS)</t>
  </si>
  <si>
    <t>Segmented Results - Automotive (PR)</t>
  </si>
  <si>
    <t>Model S/X deliveries as % of production, %</t>
  </si>
  <si>
    <t>Model 3/Y deliveries as % of production, %</t>
  </si>
  <si>
    <t>Total Deliveries as % of Production, %</t>
  </si>
  <si>
    <t>Storage deployed, GWh</t>
  </si>
  <si>
    <t>Solar deployed, megawatts</t>
  </si>
  <si>
    <t>Energy Generation and Storage Revenue, mm</t>
  </si>
  <si>
    <t>Net Solar Energy Systems Leased and to be Leased - BoP, mm</t>
  </si>
  <si>
    <t>Net Solar Energy Systems Leased and to be Leased - EoP, mm</t>
  </si>
  <si>
    <t>Net Solar Energy Systems Leased and to be Leased - Avg, mm</t>
  </si>
  <si>
    <t>Finished goods</t>
  </si>
  <si>
    <t>Lease Revenue per Vehicle, k$/unit</t>
  </si>
  <si>
    <t>Automotive Revenue, mm</t>
  </si>
  <si>
    <t>Automotive regulatory credits as % of automotive sales, %</t>
  </si>
  <si>
    <t>Cybertruck/Tesla Semi capacity utilization, %</t>
  </si>
  <si>
    <t>Cybertruck/Tesla Semi annual production capacity in Texas, units</t>
  </si>
  <si>
    <t>Cybertruck/Tesla Semi production, units</t>
  </si>
  <si>
    <t>Cybertruck/Tesla Semi deliveries as % of production, %</t>
  </si>
  <si>
    <t>Model 3 / Model Y annual production capacity in Berlin, units</t>
  </si>
  <si>
    <t>Model 3 / Model Y annual production capacity in Texas, units</t>
  </si>
  <si>
    <t>Automotive gross profit, mm</t>
  </si>
  <si>
    <t>Automotive leasing gross profit, mm</t>
  </si>
  <si>
    <t>Services and other gross profit, mm</t>
  </si>
  <si>
    <t>Energy generation and storage gross profit, mm</t>
  </si>
  <si>
    <t>Total Gross Profit, mm</t>
  </si>
  <si>
    <t>Automotive leasing gross profit mix, %</t>
  </si>
  <si>
    <t>Services and other gross profit mix, %</t>
  </si>
  <si>
    <t>Energy generation and storage gross profit mix, %</t>
  </si>
  <si>
    <t>Automotive gross profit mix, %</t>
  </si>
  <si>
    <t>Total Gross Profit Mix, %</t>
  </si>
  <si>
    <t>Automotive Leasing COGS, mm</t>
  </si>
  <si>
    <t>Raw materials</t>
  </si>
  <si>
    <t>Work in process</t>
  </si>
  <si>
    <t>Service parts</t>
  </si>
  <si>
    <t>Automotive Gross Profit</t>
  </si>
  <si>
    <t>Automotive Gross Profit Excluding SBC and ZEV Credit</t>
  </si>
  <si>
    <t>Non-GAAP Net Income (Loss)</t>
  </si>
  <si>
    <t>Net Loss to Common Stockholders</t>
  </si>
  <si>
    <t>Net Loss Used for EPS Calculation</t>
  </si>
  <si>
    <t>Total D&amp;A Expense</t>
  </si>
  <si>
    <t>Difference of gross cost per operating lease vehicle and implied price per vehicle, k$/unit</t>
  </si>
  <si>
    <t>Total Revenues</t>
  </si>
  <si>
    <t>Total Cost of Revenues</t>
  </si>
  <si>
    <t>Total Operating Expenses</t>
  </si>
  <si>
    <t>Loss before Income Taxes</t>
  </si>
  <si>
    <t>Total Gross Margin, %</t>
  </si>
  <si>
    <t>Machinery, equipment, vehicles and office furniture</t>
  </si>
  <si>
    <t>Tooling</t>
  </si>
  <si>
    <t>Leasehold improvements</t>
  </si>
  <si>
    <t>Land and buildings</t>
  </si>
  <si>
    <t>Computer equipment, hardware and software</t>
  </si>
  <si>
    <t>Construction in progress</t>
  </si>
  <si>
    <t>Less: Accumulated depreciation</t>
  </si>
  <si>
    <t>Building and building improvements</t>
  </si>
  <si>
    <t>Land</t>
  </si>
  <si>
    <t>Q3-2021</t>
  </si>
  <si>
    <t>Segmented Results - Energy Generation and Storage (FS/PR)</t>
  </si>
  <si>
    <t>JX</t>
  </si>
  <si>
    <t>Model adjusted for 5-1 stock split that is effective August 31, 2020.
In Q3-2019 company began reporting to the nearest whole number.</t>
  </si>
  <si>
    <t>Q/Q Total revenue growth, %</t>
  </si>
  <si>
    <t>Y/Y Total revenue growth, %</t>
  </si>
  <si>
    <t>United States revenue mix, %</t>
  </si>
  <si>
    <t>China revenue mix, %</t>
  </si>
  <si>
    <t>Netherlands revenue mix, %</t>
  </si>
  <si>
    <t>Norway revenue mix, %</t>
  </si>
  <si>
    <t>Other international revenue mix, %</t>
  </si>
  <si>
    <t>Other revenue mix, %</t>
  </si>
  <si>
    <t>Consolidated Summary</t>
  </si>
  <si>
    <t>Q/Q total deliveries growth, %</t>
  </si>
  <si>
    <t>Y/Y total deliveries growth, %</t>
  </si>
  <si>
    <t>Q/Q deliveries not subject to operating lease growth, %</t>
  </si>
  <si>
    <t>Deliveries not subject to Operating Lease, units</t>
  </si>
  <si>
    <t>Y/Y deliveries not subject to operating lease growth, %</t>
  </si>
  <si>
    <t>Y/Y Model S and Model X cars delivered growth, %</t>
  </si>
  <si>
    <t>Y/Y Model 3 and Model Y cars delivered growth, %</t>
  </si>
  <si>
    <t>Q/Q implied price per delivery growth, %</t>
  </si>
  <si>
    <t>Y/Y implied price per delivery growth, %</t>
  </si>
  <si>
    <t>Q/Q total production growth, %</t>
  </si>
  <si>
    <t>Segmented Results - Services and Other (FS/PR)</t>
  </si>
  <si>
    <t>Automotive Sales and Automotive Leasing Revenue, mm</t>
  </si>
  <si>
    <t>Services and other revenue as % of automotive sales and automotive leasing revenue, %</t>
  </si>
  <si>
    <t>Services and Other Revenue, mm</t>
  </si>
  <si>
    <t>Y/Y Services and other revenue growth, %</t>
  </si>
  <si>
    <t>Segment Summary</t>
  </si>
  <si>
    <t>Automotive &amp; Services and Other Revenue, mm</t>
  </si>
  <si>
    <t>Y/Y Automotive &amp; services and other revenue growth, %</t>
  </si>
  <si>
    <t>Q/Q Automotive &amp; services and other revenue growth, %</t>
  </si>
  <si>
    <t>Y/Y total production growth, %</t>
  </si>
  <si>
    <t>Y/Y Energy Generation and Storage Revenue Growth, %</t>
  </si>
  <si>
    <t>Q/Q Energy generation and storage revenue growth, %</t>
  </si>
  <si>
    <t>Y/Y Energy generation and storage revenue growth, %</t>
  </si>
  <si>
    <t>Y/Y Energy generation and storage leasing revenue growth, %</t>
  </si>
  <si>
    <t>Energy revenue recognized on average leased assets, %</t>
  </si>
  <si>
    <t>Q/Q Automotive revenue growth, %</t>
  </si>
  <si>
    <t>Y/Y Automotive revenue growth, %</t>
  </si>
  <si>
    <t>Operating Expense Forecasting</t>
  </si>
  <si>
    <t>Automotive Gross Profit, mm</t>
  </si>
  <si>
    <t>Automotive Gross Profit Margin, %</t>
  </si>
  <si>
    <t>Y/Y Total deliveries growth, %</t>
  </si>
  <si>
    <t>Y/Y Trucks delivered growth, %</t>
  </si>
  <si>
    <t>Q/Q Total deliveries growth, %</t>
  </si>
  <si>
    <t>Q/Q Automotive leasing revenue growth, %</t>
  </si>
  <si>
    <t>Y/Y Automotive leasing revenue growth, %</t>
  </si>
  <si>
    <t>Services and Other Gross Profit, mm</t>
  </si>
  <si>
    <t>Services and Other Gross Profit Margin, %</t>
  </si>
  <si>
    <t>Energy Generation and Storage Gross Profit, mm</t>
  </si>
  <si>
    <t>Energy Generation and Storage Gross Profit Margin, %</t>
  </si>
  <si>
    <t>Automotive Gross Margin, %</t>
  </si>
  <si>
    <t>Services and other Gross Margin, %</t>
  </si>
  <si>
    <t>Energy generation and storage Gross Margin, %</t>
  </si>
  <si>
    <t>EBIT Margin, %</t>
  </si>
  <si>
    <t>Consensus Estimates - Adjusted EBIT</t>
  </si>
  <si>
    <t>Consensus Estimates - Adjusted EBIT Margin, %</t>
  </si>
  <si>
    <t>SBC &amp; D&amp;A Breakdown (FS/PR)</t>
  </si>
  <si>
    <t>Income from Operations</t>
  </si>
  <si>
    <t>One-time operating items</t>
  </si>
  <si>
    <t>Adjusted EBIT</t>
  </si>
  <si>
    <t>Add back: D&amp;A Margin, %</t>
  </si>
  <si>
    <t>Add back: SBC Margin, %</t>
  </si>
  <si>
    <t>Change in accumulated depreciation as % of gross operating lease vehicles cost, %</t>
  </si>
  <si>
    <t>Revenue, mm</t>
  </si>
  <si>
    <t>Gross Profit, mm</t>
  </si>
  <si>
    <t>Y/Y growth in Gross profit, %</t>
  </si>
  <si>
    <t>Y/Y improvement in Gross Margin, bps</t>
  </si>
  <si>
    <t>SG&amp;A Expense, mm</t>
  </si>
  <si>
    <t>Y/Y growth in SG&amp;A expense, %</t>
  </si>
  <si>
    <t>Y/Y improvement in SG&amp;A Margin, bps</t>
  </si>
  <si>
    <t>R&amp;D Expense, mm</t>
  </si>
  <si>
    <t>Y/Y growth in R&amp;D expense, %</t>
  </si>
  <si>
    <t>Y/Y improvement in R&amp;D Margin, bps</t>
  </si>
  <si>
    <t>EBIT, mm</t>
  </si>
  <si>
    <t>Y/Y growth in EBIT, %</t>
  </si>
  <si>
    <t>Y/Y improvement in EBIT Margin, bps</t>
  </si>
  <si>
    <t>Adjusted EBIT, mm</t>
  </si>
  <si>
    <t>Y/Y growth in adjusted EBIT, %</t>
  </si>
  <si>
    <t>Adjusted EBIT Margin, % - (No Adjustments)</t>
  </si>
  <si>
    <t>Y/Y improvement in adjusted EBIT Margin, bps</t>
  </si>
  <si>
    <t>Q/Q Model S and Model X cars delivered growth, %</t>
  </si>
  <si>
    <t>Q/Q Model 3 and Model Y cars delivered growth, %</t>
  </si>
  <si>
    <t>Tesla Roadsters delivered, units</t>
  </si>
  <si>
    <t>Q/Q Trucks delivered growth, %</t>
  </si>
  <si>
    <t>Trucks Delivered, units</t>
  </si>
  <si>
    <t>Tesla Roadsters Delivered, units</t>
  </si>
  <si>
    <t>Model S and Model X cars delivered, units</t>
  </si>
  <si>
    <t>Model S and Model X Cars Delivered, units</t>
  </si>
  <si>
    <t>Model 3 and Model Y Cars Delivered, units</t>
  </si>
  <si>
    <t>Q/Q Services and Other Revenue growth, %</t>
  </si>
  <si>
    <t>Energy Generation and Storage Sales, mm</t>
  </si>
  <si>
    <t>Energy Generation and Storage Leasing Revenue, mm</t>
  </si>
  <si>
    <t>z_GMEG0H0133_MO_OS_EnergyGenerationandStorageRevenueGrowth</t>
  </si>
  <si>
    <t>Y/Y automotive sales growth, %</t>
  </si>
  <si>
    <t>Q/Q Automotive Sales and Automotive Leasing Revenue Growth, %</t>
  </si>
  <si>
    <t>Y/Y Automotive Sales and Automotive Leasing Revenue Growth, %</t>
  </si>
  <si>
    <t>EoP Operating Lease Vehicle Count, units</t>
  </si>
  <si>
    <t>Q/Q EoP operating lease vehicle count growth, %</t>
  </si>
  <si>
    <t>Y/Y EoP operating lease vehicle count growth, %</t>
  </si>
  <si>
    <t>Q/Q Model S/X production growth, %</t>
  </si>
  <si>
    <t>Y/Y Model S/X production growth, %</t>
  </si>
  <si>
    <t>Q/Q Model 3/Y production growth, %</t>
  </si>
  <si>
    <t>Y/Y Model 3/Y production growth, %</t>
  </si>
  <si>
    <t>Q/Q Cybertruck/Tesla Semi production growth, %</t>
  </si>
  <si>
    <t>Y/Y Cybertruck/Tesla Semi production growth, %</t>
  </si>
  <si>
    <t>Y/Y improvement in Automotive Gross Profit Margin, bps</t>
  </si>
  <si>
    <t>Automotive regulatory credits revenue, mm</t>
  </si>
  <si>
    <t>Y/Y automotive regulatory credits revenue, %</t>
  </si>
  <si>
    <t>Q/Q Operating lease vehicle count growth - EoP, %</t>
  </si>
  <si>
    <t>Y/Y Operating lease vehicle count growth - EoP, %</t>
  </si>
  <si>
    <t>Y/Y Gross cost per operating lease vehicle growth, %</t>
  </si>
  <si>
    <t>Y/Y Lease revenue per vehicle growth, %</t>
  </si>
  <si>
    <t>Vehicles Sold under Lease Accounting as % of Total Deliveries, %</t>
  </si>
  <si>
    <t>Y/Y improvement in Automotive Leasing Gross Profit Margin, bps</t>
  </si>
  <si>
    <t>Y/Y improvement in Services and Other Gross Profit Margin, bps</t>
  </si>
  <si>
    <t>Y/Y Solar deployed growth, %</t>
  </si>
  <si>
    <t>Y/Y Storage deployed growth, %</t>
  </si>
  <si>
    <t>Segmented Results - Automotive Leasing (FS/PR)</t>
  </si>
  <si>
    <t>Y/Y improvement in Energy Generation and Storage Gross Profit Margin, bps</t>
  </si>
  <si>
    <t>Y/Y Net Solar Energy Systems Leased and to be Leased - Avg Growth, %</t>
  </si>
  <si>
    <t>Y/Y Energy Generation and Storage Sales growth, %</t>
  </si>
  <si>
    <t>COGS, mm</t>
  </si>
  <si>
    <t>RIS EBIT = EBIT</t>
  </si>
  <si>
    <t>RIS EBIT = Operating EBIT</t>
  </si>
  <si>
    <t>One-time operating items,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</si>
</sst>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164" formatCode="_(&quot;$&quot;* #,##0.00_);_(&quot;$&quot;* \(#,##0.00\);_(&quot;$&quot;* &quot;-&quot;??_);_(@_)"/>
    <numFmt numFmtId="165" formatCode="_(* #,##0.0_);_(* \(#,##0.0\);_(* &quot;-&quot;??_);_(@_)"/>
    <numFmt numFmtId="166" formatCode="_(&quot;$&quot;* #,##0_);_(&quot;$&quot;* \(#,##0\);_(&quot;$&quot;* &quot;-&quot;??_);_(@_)"/>
    <numFmt numFmtId="167" formatCode="_(* #,##0_);_(* \(#,##0\);_(* &quot;-&quot;??_);_(@_)"/>
    <numFmt numFmtId="168" formatCode="_(* 0.0%_);_(* \-0.0%_);_(* &quot;-&quot;??_);_(@_)"/>
    <numFmt numFmtId="169" formatCode="_(* #,##0.0_);_(* \(#,##0.0\);_(* &quot;-&quot;??_);@"/>
    <numFmt numFmtId="170" formatCode="_(&quot;$&quot;* 0.00_);_(&quot;$&quot;* \(0.00\);_(&quot;$&quot;* &quot;-&quot;??_);_(@_)"/>
    <numFmt numFmtId="171" formatCode="_(* 0.0\ \x_);\ _(* &quot;n/a&quot;_);_(* &quot;-&quot;??_);_(@_)"/>
    <numFmt numFmtId="172" formatCode=";;;"/>
    <numFmt numFmtId="173" formatCode="_(&quot;$&quot;* 0.000_);_(&quot;$&quot;* \(0.000\);_(&quot;$&quot;* &quot;-&quot;??_);_(@_)"/>
    <numFmt numFmtId="174" formatCode="_(&quot;$&quot;* #,##0.000_);_(&quot;$&quot;* \(#,##0.000\);_(&quot;$&quot;* &quot;-&quot;??_);_(@_)"/>
    <numFmt numFmtId="175" formatCode="_(* #,##0.0_);_(* \(#,##0.0\);_(* &quot;-&quot;??_);_(&quot;Bloomberg &gt;&gt; &quot;@_)"/>
    <numFmt numFmtId="176" formatCode="_(* #,##0.0_);_(* \(#,##0.0\);_(* &quot;-&quot;??_);_(&quot;Capital IQ &gt;&gt; &quot;@_)"/>
    <numFmt numFmtId="177" formatCode="_(* #,##0.0_);_(* \(#,##0.0\);_(* &quot;-&quot;??_);_(&quot;FactSet &gt;&gt; &quot;@_)"/>
    <numFmt numFmtId="178" formatCode="_(* #,##0.0_);_(* \(#,##0.0\);_(* &quot;-&quot;??_);_(&quot;Ticker :   &quot;@_)"/>
    <numFmt numFmtId="179" formatCode="_(&quot;$&quot;* 0.00_);_(&quot;$&quot;* \(0.00\);_(&quot;$&quot;* &quot;-&quot;??_);_(@\ * \ &quot;Toggle  &gt;&gt;&gt;&quot;_)"/>
    <numFmt numFmtId="180" formatCode="_(* #,##0.0_);_(* \(#,##0.0\);_(* &quot;-&quot;??_);_(@\ * \ &quot;Toggle  &gt;&gt;&gt;&quot;_)"/>
    <numFmt numFmtId="181" formatCode="_(* 0.0%_);_(* &quot;NMF&quot;_);_(* &quot;-&quot;??_);_(@_)"/>
    <numFmt numFmtId="182" formatCode="_(* 0.0%_);_(* &quot;n/a&quot;_);_(* &quot;-&quot;??_);_(@_)"/>
    <numFmt numFmtId="183" formatCode="_(&quot;$&quot;* #,##0.0_);_(&quot;$&quot;* \(#,##0.0\);_(&quot;$&quot;* &quot;-&quot;??_);_(@_)"/>
    <numFmt numFmtId="184" formatCode="_(* #,##0.0_);_(* \(#,##0.0\);_(* &quot;-&quot;??_);_(&quot;Model Sheet Currency :   &quot;@_)"/>
    <numFmt numFmtId="185" formatCode="_(* #,##0.0_);_(* \(#,##0.0\);_(* &quot;-&quot;??_);_(&quot;Canalyst Security Identification #: &quot;@_)"/>
    <numFmt numFmtId="186" formatCode="_(* #,##0.0_);_(* \(#,##0.0\);_(* &quot;-&quot;??_);_(&quot;Model Version #: &quot;@_)"/>
    <numFmt numFmtId="187" formatCode="_(* #,##0.0_);_(* \(#,##0.0\);_(* &quot; - &quot;??_);_(&quot;Last Price (&quot;@&quot;) &quot;_)"/>
    <numFmt numFmtId="188" formatCode="_(* #,##0.0_);_(* \(#,##0.0\);_(* &quot;-&quot;??_);_(&quot;Real-Time Stock Price :   &quot;@_)"/>
    <numFmt numFmtId="189" formatCode="_(&quot;$&quot;* 0.00_);_(&quot;$&quot;* \(0.00\);_(&quot;$&quot;* &quot; - &quot;??_);_(@_)"/>
    <numFmt numFmtId="190" formatCode="_(* #,##0.000_);_(* \(#,##0.000\);_(* &quot;-&quot;??_);_(@_)"/>
    <numFmt numFmtId="191" formatCode="&quot;Most Recent Period:&quot;"/>
    <numFmt numFmtId="192" formatCode="_(* #,##0.0_);_(* \(#,##0.0\);_(* &quot; -&quot;??_);_(&quot;Refinitiv &gt;&gt; &quot;@_)"/>
    <numFmt numFmtId="193" formatCode="yyyy\-mm\-dd"/>
    <numFmt numFmtId="194" formatCode="_(&quot;$&quot;* #,##0.00_);_(&quot;$&quot;* \(#,##0.00\);_(&quot;$&quot;* &quot; - &quot;??_);_(@_)"/>
    <numFmt numFmtId="195" formatCode="_(&quot;$&quot;* #,##0.0_);_(&quot;$&quot;* \(#,##0.0\);_(&quot;$&quot;* &quot; - &quot;??_);_(@_)"/>
    <numFmt numFmtId="196" formatCode="_(&quot;$&quot;* 0.0_);_(&quot;$&quot;* \(0.0\);_(&quot;$&quot;* &quot; - &quot;??_);_(@_)"/>
    <numFmt numFmtId="197" formatCode=";;"/>
  </numFmts>
  <fonts count="60" x14ac:knownFonts="1">
    <font>
      <sz val="11"/>
      <name val="Calibri"/>
      <family val="2"/>
    </font>
    <font>
      <sz val="11"/>
      <color theme="1"/>
      <name val="Calibri"/>
      <family val="2"/>
      <scheme val="minor"/>
    </font>
    <font>
      <b/>
      <sz val="11"/>
      <color theme="1"/>
      <name val="Calibri"/>
      <family val="2"/>
      <scheme val="minor"/>
    </font>
    <font>
      <sz val="11"/>
      <color theme="10"/>
      <name val="Calibri"/>
      <family val="2"/>
      <scheme val="minor"/>
    </font>
    <font>
      <b/>
      <sz val="11"/>
      <name val="Calibri"/>
      <family val="2"/>
      <scheme val="minor"/>
    </font>
    <font>
      <b/>
      <sz val="11"/>
      <name val="Calibri"/>
      <family val="2"/>
    </font>
    <font>
      <sz val="11"/>
      <name val="Calibri"/>
      <family val="2"/>
      <scheme val="minor"/>
    </font>
    <font>
      <sz val="11"/>
      <color rgb="FFFF0000"/>
      <name val="Calibri"/>
      <family val="2"/>
    </font>
    <font>
      <sz val="11"/>
      <color theme="0"/>
      <name val="Calibri"/>
      <family val="2"/>
      <scheme val="minor"/>
    </font>
    <font>
      <sz val="22"/>
      <color theme="1"/>
      <name val="Calibri"/>
      <family val="2"/>
      <scheme val="minor"/>
    </font>
    <font>
      <sz val="11"/>
      <color theme="10"/>
      <name val="Calibri"/>
      <family val="2"/>
    </font>
    <font>
      <sz val="14"/>
      <color theme="1"/>
      <name val="Calibri"/>
      <family val="2"/>
      <scheme val="minor"/>
    </font>
    <font>
      <b/>
      <sz val="11"/>
      <color rgb="FFFF0000"/>
      <name val="Calibri"/>
      <family val="2"/>
    </font>
    <font>
      <sz val="11"/>
      <color rgb="FF006100"/>
      <name val="Calibri"/>
      <family val="2"/>
      <scheme val="minor"/>
    </font>
    <font>
      <sz val="10"/>
      <color theme="1"/>
      <name val="Calibri"/>
      <family val="2"/>
      <scheme val="minor"/>
    </font>
    <font>
      <b/>
      <sz val="10"/>
      <color theme="1"/>
      <name val="Calibri"/>
      <family val="2"/>
      <scheme val="minor"/>
    </font>
    <font>
      <b/>
      <sz val="14"/>
      <color rgb="FFFF0000"/>
      <name val="Calibri"/>
      <family val="2"/>
      <scheme val="minor"/>
    </font>
    <font>
      <b/>
      <sz val="14"/>
      <color theme="1"/>
      <name val="Calibri"/>
      <family val="2"/>
      <scheme val="minor"/>
    </font>
    <font>
      <sz val="14"/>
      <name val="Calibri"/>
      <family val="2"/>
      <scheme val="minor"/>
    </font>
    <font>
      <i/>
      <sz val="11"/>
      <name val="Calibri"/>
      <family val="2"/>
    </font>
    <font>
      <sz val="11"/>
      <color rgb="FF000000"/>
      <name val="Calibri"/>
      <family val="2"/>
      <scheme val="minor"/>
    </font>
    <font>
      <sz val="11"/>
      <color theme="1"/>
      <name val="Calibri"/>
      <family val="2"/>
    </font>
    <font>
      <b/>
      <sz val="11"/>
      <color theme="1"/>
      <name val="Calibri"/>
      <family val="2"/>
    </font>
    <font>
      <i/>
      <sz val="11"/>
      <color theme="1"/>
      <name val="Calibri"/>
      <family val="2"/>
    </font>
    <font>
      <u/>
      <sz val="22"/>
      <color theme="10"/>
      <name val="Calibri"/>
      <family val="2"/>
      <scheme val="minor"/>
    </font>
    <font>
      <b/>
      <sz val="11"/>
      <color rgb="FFFFFFFF"/>
      <name val="Calibri"/>
      <family val="2"/>
    </font>
    <font>
      <b/>
      <sz val="11"/>
      <color rgb="FF000000"/>
      <name val="Calibri"/>
      <family val="2"/>
    </font>
    <font>
      <b/>
      <sz val="11"/>
      <color rgb="FF000000"/>
      <name val="Calibri"/>
      <family val="2"/>
      <scheme val="minor"/>
    </font>
    <font>
      <sz val="11"/>
      <color rgb="FF000000"/>
      <name val="Calibri"/>
      <family val="2"/>
    </font>
    <font>
      <i/>
      <sz val="11"/>
      <color rgb="FF000000"/>
      <name val="Calibri"/>
      <family val="2"/>
    </font>
    <font>
      <i/>
      <sz val="11"/>
      <color rgb="FF000000"/>
      <name val="Calibri"/>
      <family val="2"/>
      <scheme val="minor"/>
    </font>
    <font>
      <u/>
      <sz val="11"/>
      <color theme="10"/>
      <name val="Calibri"/>
      <family val="2"/>
      <scheme val="minor"/>
    </font>
    <font>
      <b/>
      <i/>
      <sz val="11"/>
      <color rgb="FF000000"/>
      <name val="Calibri"/>
      <family val="2"/>
    </font>
    <font>
      <b/>
      <i/>
      <sz val="11"/>
      <color rgb="FF000000"/>
      <name val="Calibri"/>
      <family val="2"/>
      <scheme val="minor"/>
    </font>
    <font>
      <sz val="10"/>
      <color theme="0"/>
      <name val="Calibri"/>
      <family val="2"/>
      <scheme val="minor"/>
    </font>
    <font>
      <b/>
      <sz val="11"/>
      <color rgb="FFFFFFFF"/>
      <name val="Calibri"/>
      <family val="2"/>
      <scheme val="minor"/>
    </font>
    <font>
      <sz val="11"/>
      <color rgb="FFFFFFFF"/>
      <name val="Calibri"/>
      <family val="2"/>
    </font>
    <font>
      <sz val="11"/>
      <color rgb="FFF2F2F2"/>
      <name val="Calibri"/>
      <family val="2"/>
    </font>
    <font>
      <sz val="11"/>
      <color theme="0" tint="-4.3397320474868009E-2"/>
      <name val="Calibri"/>
      <family val="2"/>
    </font>
    <font>
      <b/>
      <sz val="11"/>
      <color theme="0"/>
      <name val="Calibri"/>
      <family val="2"/>
    </font>
    <font>
      <u/>
      <sz val="22"/>
      <color rgb="FF000000"/>
      <name val="Calibri"/>
      <family val="2"/>
      <scheme val="minor"/>
    </font>
    <font>
      <sz val="11"/>
      <color rgb="FF0000FF"/>
      <name val="Calibri"/>
      <family val="2"/>
      <scheme val="minor"/>
    </font>
    <font>
      <sz val="11"/>
      <color rgb="FF0000FF"/>
      <name val="Calibri"/>
      <family val="2"/>
    </font>
    <font>
      <u/>
      <sz val="11"/>
      <color rgb="FF0000FF"/>
      <name val="Calibri"/>
      <family val="2"/>
      <scheme val="minor"/>
    </font>
    <font>
      <sz val="14"/>
      <color rgb="FF0000FF"/>
      <name val="Calibri"/>
      <family val="2"/>
      <scheme val="minor"/>
    </font>
    <font>
      <b/>
      <i/>
      <sz val="11"/>
      <name val="Calibri"/>
      <family val="2"/>
    </font>
    <font>
      <b/>
      <i/>
      <sz val="11"/>
      <color theme="1"/>
      <name val="Calibri"/>
      <family val="2"/>
    </font>
    <font>
      <b/>
      <i/>
      <sz val="11"/>
      <color rgb="FFFF0000"/>
      <name val="Calibri"/>
      <family val="2"/>
    </font>
    <font>
      <b/>
      <sz val="9"/>
      <name val="Tahoma"/>
      <family val="2"/>
    </font>
    <font>
      <sz val="9"/>
      <name val="Tahoma"/>
      <family val="2"/>
    </font>
    <font>
      <i/>
      <sz val="11"/>
      <color rgb="FFFF0000"/>
      <name val="Calibri"/>
      <family val="2"/>
    </font>
    <font>
      <sz val="7"/>
      <color rgb="FF000000"/>
      <name val="Calibri"/>
      <family val="2"/>
      <scheme val="minor"/>
    </font>
    <font>
      <b/>
      <sz val="7"/>
      <color rgb="FF000000"/>
      <name val="Calibri"/>
      <family val="2"/>
      <scheme val="minor"/>
    </font>
    <font>
      <u/>
      <sz val="22"/>
      <color theme="1"/>
      <name val="Calibri"/>
      <family val="2"/>
      <scheme val="minor"/>
    </font>
    <font>
      <b/>
      <sz val="11"/>
      <color indexed="10"/>
      <name val="Calibri"/>
      <family val="2"/>
    </font>
    <font>
      <i/>
      <sz val="11"/>
      <color indexed="8"/>
      <name val="Calibri"/>
      <family val="2"/>
    </font>
    <font>
      <sz val="11"/>
      <color indexed="8"/>
      <name val="Calibri"/>
      <family val="2"/>
    </font>
    <font>
      <sz val="11"/>
      <name val="Calibri"/>
      <family val="2"/>
    </font>
    <font>
      <b/>
      <sz val="9"/>
      <name val="Tahoma"/>
      <family val="2"/>
      <charset val="1"/>
    </font>
    <font>
      <sz val="9"/>
      <name val="Tahoma"/>
      <family val="2"/>
      <charset val="1"/>
    </font>
  </fonts>
  <fills count="13">
    <fill>
      <patternFill patternType="none"/>
    </fill>
    <fill>
      <patternFill patternType="gray125"/>
    </fill>
    <fill>
      <patternFill patternType="solid">
        <fgColor rgb="FFC6EFCE"/>
        <bgColor indexed="64"/>
      </patternFill>
    </fill>
    <fill>
      <patternFill patternType="solid">
        <fgColor rgb="FFF2F2F2"/>
        <bgColor indexed="64"/>
      </patternFill>
    </fill>
    <fill>
      <patternFill patternType="solid">
        <fgColor theme="0"/>
        <bgColor indexed="64"/>
      </patternFill>
    </fill>
    <fill>
      <patternFill patternType="solid">
        <fgColor theme="0" tint="-4.3397320474868009E-2"/>
        <bgColor indexed="64"/>
      </patternFill>
    </fill>
    <fill>
      <patternFill patternType="solid">
        <fgColor rgb="FFFBCE20"/>
        <bgColor indexed="64"/>
      </patternFill>
    </fill>
    <fill>
      <patternFill patternType="solid">
        <fgColor rgb="FF89E0FF"/>
        <bgColor indexed="64"/>
      </patternFill>
    </fill>
    <fill>
      <patternFill patternType="solid">
        <fgColor rgb="FFFFFFFF"/>
        <bgColor indexed="64"/>
      </patternFill>
    </fill>
    <fill>
      <patternFill patternType="solid">
        <fgColor theme="0" tint="-0.2433851130710776"/>
        <bgColor indexed="64"/>
      </patternFill>
    </fill>
    <fill>
      <patternFill patternType="solid">
        <fgColor rgb="FF000000"/>
        <bgColor indexed="64"/>
      </patternFill>
    </fill>
    <fill>
      <patternFill patternType="solid">
        <fgColor theme="1"/>
        <bgColor indexed="64"/>
      </patternFill>
    </fill>
    <fill>
      <patternFill patternType="solid">
        <fgColor rgb="FFBFBFBF"/>
        <bgColor indexed="64"/>
      </patternFill>
    </fill>
  </fills>
  <borders count="36">
    <border>
      <left/>
      <right/>
      <top/>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rgb="FF000000"/>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auto="1"/>
      </left>
      <right style="thin">
        <color auto="1"/>
      </right>
      <top style="thin">
        <color auto="1"/>
      </top>
      <bottom style="thin">
        <color rgb="FF000000"/>
      </bottom>
      <diagonal/>
    </border>
    <border>
      <left style="thin">
        <color rgb="FF000000"/>
      </left>
      <right style="thin">
        <color auto="1"/>
      </right>
      <top style="thin">
        <color auto="1"/>
      </top>
      <bottom style="thin">
        <color rgb="FF000000"/>
      </bottom>
      <diagonal/>
    </border>
    <border>
      <left/>
      <right style="thin">
        <color rgb="FF000000"/>
      </right>
      <top/>
      <bottom style="thin">
        <color rgb="FF000000"/>
      </bottom>
      <diagonal/>
    </border>
    <border>
      <left style="thin">
        <color rgb="FF000000"/>
      </left>
      <right style="thin">
        <color auto="1"/>
      </right>
      <top/>
      <bottom style="thin">
        <color rgb="FF000000"/>
      </bottom>
      <diagonal/>
    </border>
    <border>
      <left style="thin">
        <color auto="1"/>
      </left>
      <right style="thin">
        <color auto="1"/>
      </right>
      <top/>
      <bottom style="thin">
        <color rgb="FF000000"/>
      </bottom>
      <diagonal/>
    </border>
    <border>
      <left style="thin">
        <color rgb="FF000000"/>
      </left>
      <right/>
      <top style="thin">
        <color rgb="FF000000"/>
      </top>
      <bottom/>
      <diagonal/>
    </border>
    <border>
      <left style="thin">
        <color auto="1"/>
      </left>
      <right style="thin">
        <color rgb="FF000000"/>
      </right>
      <top style="thin">
        <color auto="1"/>
      </top>
      <bottom style="thin">
        <color rgb="FF000000"/>
      </bottom>
      <diagonal/>
    </border>
    <border>
      <left style="thin">
        <color auto="1"/>
      </left>
      <right style="thin">
        <color rgb="FF000000"/>
      </right>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
      <left/>
      <right/>
      <top style="thin">
        <color auto="1"/>
      </top>
      <bottom style="thin">
        <color auto="1"/>
      </bottom>
      <diagonal/>
    </border>
    <border>
      <left style="thin">
        <color rgb="FF000000"/>
      </left>
      <right style="thin">
        <color rgb="FF000000"/>
      </right>
      <top/>
      <bottom style="thin">
        <color rgb="FF000000"/>
      </bottom>
      <diagonal/>
    </border>
    <border>
      <left/>
      <right style="thick">
        <color auto="1"/>
      </right>
      <top/>
      <bottom/>
      <diagonal/>
    </border>
    <border>
      <left/>
      <right style="thick">
        <color auto="1"/>
      </right>
      <top/>
      <bottom style="thin">
        <color auto="1"/>
      </bottom>
      <diagonal/>
    </border>
    <border>
      <left/>
      <right style="thick">
        <color auto="1"/>
      </right>
      <top style="thin">
        <color auto="1"/>
      </top>
      <bottom/>
      <diagonal/>
    </border>
    <border>
      <left/>
      <right style="thick">
        <color auto="1"/>
      </right>
      <top style="thin">
        <color auto="1"/>
      </top>
      <bottom style="thin">
        <color auto="1"/>
      </bottom>
      <diagonal/>
    </border>
    <border>
      <left/>
      <right style="thick">
        <color auto="1"/>
      </right>
      <top/>
      <bottom style="thin">
        <color rgb="FF000000"/>
      </bottom>
      <diagonal/>
    </border>
    <border>
      <left/>
      <right style="thick">
        <color auto="1"/>
      </right>
      <top style="thin">
        <color rgb="FF000000"/>
      </top>
      <bottom style="thin">
        <color rgb="FF000000"/>
      </bottom>
      <diagonal/>
    </border>
    <border>
      <left/>
      <right style="thick">
        <color auto="1"/>
      </right>
      <top style="thin">
        <color rgb="FF000000"/>
      </top>
      <bottom/>
      <diagonal/>
    </border>
  </borders>
  <cellStyleXfs count="15">
    <xf numFmtId="0" fontId="0" fillId="0" borderId="0"/>
    <xf numFmtId="9" fontId="57" fillId="0" borderId="0"/>
    <xf numFmtId="0" fontId="57" fillId="0" borderId="0"/>
    <xf numFmtId="0" fontId="1" fillId="0" borderId="0"/>
    <xf numFmtId="164" fontId="57" fillId="0" borderId="0"/>
    <xf numFmtId="0" fontId="13" fillId="2" borderId="0"/>
    <xf numFmtId="0" fontId="13" fillId="2" borderId="0"/>
    <xf numFmtId="0" fontId="3" fillId="0" borderId="0"/>
    <xf numFmtId="0" fontId="10" fillId="0" borderId="0"/>
    <xf numFmtId="0" fontId="31" fillId="0" borderId="0"/>
    <xf numFmtId="0" fontId="1" fillId="0" borderId="0"/>
    <xf numFmtId="0" fontId="1" fillId="0" borderId="0"/>
    <xf numFmtId="0" fontId="57" fillId="0" borderId="0"/>
    <xf numFmtId="0" fontId="1" fillId="0" borderId="0"/>
    <xf numFmtId="164" fontId="57" fillId="0" borderId="0"/>
  </cellStyleXfs>
  <cellXfs count="1112">
    <xf numFmtId="0" fontId="0" fillId="0" borderId="0" xfId="0" applyNumberFormat="1" applyFont="1" applyFill="1" applyBorder="1"/>
    <xf numFmtId="0" fontId="44" fillId="3" borderId="0" xfId="7" applyFont="1" applyFill="1"/>
    <xf numFmtId="0" fontId="0" fillId="0" borderId="1" xfId="0" applyNumberFormat="1" applyFont="1" applyFill="1" applyBorder="1"/>
    <xf numFmtId="0" fontId="0" fillId="0" borderId="2" xfId="0" applyNumberFormat="1" applyFont="1" applyFill="1" applyBorder="1"/>
    <xf numFmtId="0" fontId="0" fillId="0" borderId="3" xfId="0" applyNumberFormat="1" applyFont="1" applyFill="1" applyBorder="1"/>
    <xf numFmtId="0" fontId="0" fillId="0" borderId="4" xfId="0" applyNumberFormat="1" applyFont="1" applyFill="1" applyBorder="1"/>
    <xf numFmtId="0" fontId="0" fillId="0" borderId="5" xfId="0" applyNumberFormat="1" applyFont="1" applyFill="1" applyBorder="1"/>
    <xf numFmtId="0" fontId="0" fillId="0" borderId="6" xfId="0" applyNumberFormat="1" applyFont="1" applyFill="1" applyBorder="1"/>
    <xf numFmtId="0" fontId="0" fillId="0" borderId="7" xfId="0" applyNumberFormat="1" applyFont="1" applyFill="1" applyBorder="1"/>
    <xf numFmtId="0" fontId="51" fillId="0" borderId="8" xfId="11" applyNumberFormat="1" applyFont="1" applyFill="1" applyBorder="1" applyAlignment="1">
      <alignment vertical="top" wrapText="1"/>
    </xf>
    <xf numFmtId="0" fontId="1" fillId="4" borderId="0" xfId="11" quotePrefix="1" applyNumberFormat="1" applyFont="1" applyFill="1" applyBorder="1" applyAlignment="1">
      <alignment horizontal="left" vertical="top" wrapText="1"/>
    </xf>
    <xf numFmtId="0" fontId="1" fillId="0" borderId="0" xfId="11" applyNumberFormat="1" applyFont="1" applyFill="1" applyBorder="1"/>
    <xf numFmtId="0" fontId="9" fillId="5" borderId="0" xfId="11" applyNumberFormat="1" applyFont="1" applyFill="1" applyBorder="1" applyAlignment="1">
      <alignment horizontal="center"/>
    </xf>
    <xf numFmtId="0" fontId="1" fillId="0" borderId="0" xfId="11" applyNumberFormat="1" applyFont="1" applyFill="1" applyBorder="1"/>
    <xf numFmtId="0" fontId="0" fillId="0" borderId="0" xfId="12" applyNumberFormat="1" applyFont="1" applyFill="1" applyBorder="1"/>
    <xf numFmtId="0" fontId="1" fillId="5" borderId="0" xfId="11" applyNumberFormat="1" applyFont="1" applyFill="1" applyBorder="1"/>
    <xf numFmtId="0" fontId="17" fillId="5" borderId="0" xfId="11" applyNumberFormat="1" applyFont="1" applyFill="1" applyBorder="1" applyAlignment="1">
      <alignment vertical="center"/>
    </xf>
    <xf numFmtId="14" fontId="11" fillId="6" borderId="0" xfId="11" applyNumberFormat="1" applyFont="1" applyFill="1" applyBorder="1" applyAlignment="1">
      <alignment horizontal="center" vertical="center"/>
    </xf>
    <xf numFmtId="0" fontId="1" fillId="4" borderId="0" xfId="11" applyNumberFormat="1" applyFont="1" applyFill="1" applyBorder="1"/>
    <xf numFmtId="0" fontId="1" fillId="4" borderId="9" xfId="11" applyNumberFormat="1" applyFont="1" applyFill="1" applyBorder="1" applyAlignment="1">
      <alignment horizontal="center"/>
    </xf>
    <xf numFmtId="0" fontId="6" fillId="4" borderId="9" xfId="11" applyNumberFormat="1" applyFont="1" applyFill="1" applyBorder="1" applyAlignment="1">
      <alignment horizontal="center"/>
    </xf>
    <xf numFmtId="14" fontId="6" fillId="4" borderId="9" xfId="11" applyNumberFormat="1" applyFont="1" applyFill="1" applyBorder="1" applyAlignment="1">
      <alignment horizontal="center"/>
    </xf>
    <xf numFmtId="0" fontId="11" fillId="0" borderId="0" xfId="11" applyNumberFormat="1" applyFont="1" applyFill="1" applyBorder="1" applyAlignment="1">
      <alignment vertical="center"/>
    </xf>
    <xf numFmtId="0" fontId="0" fillId="0" borderId="0" xfId="0" applyNumberFormat="1" applyFont="1" applyFill="1" applyBorder="1"/>
    <xf numFmtId="0" fontId="1" fillId="0" borderId="0" xfId="11" applyNumberFormat="1" applyFont="1" applyFill="1" applyBorder="1"/>
    <xf numFmtId="165" fontId="0" fillId="0" borderId="0" xfId="0" applyNumberFormat="1" applyFont="1" applyFill="1" applyBorder="1"/>
    <xf numFmtId="168" fontId="5" fillId="7" borderId="7" xfId="0" applyNumberFormat="1" applyFont="1" applyFill="1" applyBorder="1" applyAlignment="1">
      <alignment horizontal="right"/>
    </xf>
    <xf numFmtId="168" fontId="5" fillId="8" borderId="7" xfId="0" applyNumberFormat="1" applyFont="1" applyFill="1" applyBorder="1" applyAlignment="1">
      <alignment horizontal="right"/>
    </xf>
    <xf numFmtId="168" fontId="22" fillId="8" borderId="7" xfId="0" applyNumberFormat="1" applyFont="1" applyFill="1" applyBorder="1" applyAlignment="1">
      <alignment horizontal="right"/>
    </xf>
    <xf numFmtId="167" fontId="5" fillId="7" borderId="7" xfId="0" applyNumberFormat="1" applyFont="1" applyFill="1" applyBorder="1"/>
    <xf numFmtId="167" fontId="5" fillId="8" borderId="7" xfId="0" applyNumberFormat="1" applyFont="1" applyFill="1" applyBorder="1"/>
    <xf numFmtId="167" fontId="22" fillId="8" borderId="7" xfId="0" applyNumberFormat="1" applyFont="1" applyFill="1" applyBorder="1"/>
    <xf numFmtId="0" fontId="1" fillId="0" borderId="0" xfId="11" applyNumberFormat="1" applyFont="1" applyFill="1" applyBorder="1"/>
    <xf numFmtId="167" fontId="5" fillId="7" borderId="0" xfId="0" applyNumberFormat="1" applyFont="1" applyFill="1" applyBorder="1"/>
    <xf numFmtId="167" fontId="22" fillId="8" borderId="0" xfId="0" applyNumberFormat="1" applyFont="1" applyFill="1" applyBorder="1"/>
    <xf numFmtId="167" fontId="0" fillId="7" borderId="0" xfId="0" applyNumberFormat="1" applyFont="1" applyFill="1" applyBorder="1"/>
    <xf numFmtId="167" fontId="21" fillId="8" borderId="0" xfId="0" applyNumberFormat="1" applyFont="1" applyFill="1" applyBorder="1"/>
    <xf numFmtId="169" fontId="24" fillId="8" borderId="0" xfId="7" applyNumberFormat="1" applyFont="1" applyFill="1" applyBorder="1" applyAlignment="1">
      <alignment horizontal="left"/>
    </xf>
    <xf numFmtId="168" fontId="5" fillId="8" borderId="7" xfId="0" applyNumberFormat="1" applyFont="1" applyFill="1" applyBorder="1" applyAlignment="1">
      <alignment horizontal="left"/>
    </xf>
    <xf numFmtId="165" fontId="5" fillId="8" borderId="0" xfId="0" applyNumberFormat="1" applyFont="1" applyFill="1" applyBorder="1" applyAlignment="1">
      <alignment horizontal="left"/>
    </xf>
    <xf numFmtId="165" fontId="2" fillId="8" borderId="0" xfId="2" applyNumberFormat="1" applyFont="1" applyFill="1" applyBorder="1"/>
    <xf numFmtId="167" fontId="2" fillId="8" borderId="0" xfId="2" applyNumberFormat="1" applyFont="1" applyFill="1" applyBorder="1"/>
    <xf numFmtId="168" fontId="26" fillId="8" borderId="7" xfId="0" applyNumberFormat="1" applyFont="1" applyFill="1" applyBorder="1" applyAlignment="1">
      <alignment horizontal="right"/>
    </xf>
    <xf numFmtId="168" fontId="26" fillId="7" borderId="7" xfId="0" applyNumberFormat="1" applyFont="1" applyFill="1" applyBorder="1" applyAlignment="1">
      <alignment horizontal="right"/>
    </xf>
    <xf numFmtId="167" fontId="26" fillId="8" borderId="7" xfId="0" applyNumberFormat="1" applyFont="1" applyFill="1" applyBorder="1"/>
    <xf numFmtId="167" fontId="26" fillId="7" borderId="7" xfId="0" applyNumberFormat="1" applyFont="1" applyFill="1" applyBorder="1"/>
    <xf numFmtId="0" fontId="1" fillId="5" borderId="0" xfId="11" applyNumberFormat="1" applyFont="1" applyFill="1" applyBorder="1"/>
    <xf numFmtId="0" fontId="11" fillId="5" borderId="0" xfId="11" applyNumberFormat="1" applyFont="1" applyFill="1" applyBorder="1" applyAlignment="1">
      <alignment vertical="center"/>
    </xf>
    <xf numFmtId="0" fontId="17" fillId="5" borderId="0" xfId="11" applyNumberFormat="1" applyFont="1" applyFill="1" applyBorder="1" applyAlignment="1">
      <alignment vertical="center"/>
    </xf>
    <xf numFmtId="0" fontId="1" fillId="5" borderId="0" xfId="11" applyNumberFormat="1" applyFont="1" applyFill="1" applyBorder="1" applyAlignment="1">
      <alignment vertical="center"/>
    </xf>
    <xf numFmtId="0" fontId="17" fillId="5" borderId="0" xfId="11" applyNumberFormat="1" applyFont="1" applyFill="1" applyBorder="1" applyAlignment="1">
      <alignment horizontal="center" vertical="center"/>
    </xf>
    <xf numFmtId="0" fontId="11" fillId="5" borderId="0" xfId="11" applyNumberFormat="1" applyFont="1" applyFill="1" applyBorder="1"/>
    <xf numFmtId="14" fontId="11" fillId="6" borderId="0" xfId="11" applyNumberFormat="1" applyFont="1" applyFill="1" applyBorder="1" applyAlignment="1">
      <alignment horizontal="center" vertical="center"/>
    </xf>
    <xf numFmtId="0" fontId="11" fillId="5" borderId="0" xfId="11" applyNumberFormat="1" applyFont="1" applyFill="1" applyBorder="1" applyAlignment="1">
      <alignment horizontal="center"/>
    </xf>
    <xf numFmtId="0" fontId="18" fillId="6" borderId="0" xfId="11" applyNumberFormat="1" applyFont="1" applyFill="1" applyBorder="1" applyAlignment="1">
      <alignment horizontal="center" vertical="center"/>
    </xf>
    <xf numFmtId="1" fontId="16" fillId="9" borderId="0" xfId="11" applyNumberFormat="1" applyFont="1" applyFill="1" applyBorder="1" applyAlignment="1">
      <alignment horizontal="center" vertical="center"/>
    </xf>
    <xf numFmtId="0" fontId="15" fillId="5" borderId="0" xfId="11" applyNumberFormat="1" applyFont="1" applyFill="1" applyBorder="1"/>
    <xf numFmtId="0" fontId="14" fillId="5" borderId="0" xfId="11" applyNumberFormat="1" applyFont="1" applyFill="1" applyBorder="1"/>
    <xf numFmtId="0" fontId="1" fillId="5" borderId="0" xfId="11" applyNumberFormat="1" applyFont="1" applyFill="1" applyBorder="1" applyAlignment="1">
      <alignment vertical="center"/>
    </xf>
    <xf numFmtId="1" fontId="14" fillId="5" borderId="0" xfId="11" applyNumberFormat="1" applyFont="1" applyFill="1" applyBorder="1" applyAlignment="1">
      <alignment horizontal="center"/>
    </xf>
    <xf numFmtId="0" fontId="14" fillId="5" borderId="0" xfId="11" applyNumberFormat="1" applyFont="1" applyFill="1" applyBorder="1" applyAlignment="1">
      <alignment horizontal="left" wrapText="1" indent="1"/>
    </xf>
    <xf numFmtId="0" fontId="14" fillId="0" borderId="0" xfId="11" applyNumberFormat="1" applyFont="1" applyFill="1" applyBorder="1"/>
    <xf numFmtId="0" fontId="15" fillId="5" borderId="0" xfId="11" quotePrefix="1" applyNumberFormat="1" applyFont="1" applyFill="1" applyBorder="1"/>
    <xf numFmtId="0" fontId="17" fillId="5" borderId="0" xfId="11" applyNumberFormat="1" applyFont="1" applyFill="1" applyBorder="1"/>
    <xf numFmtId="0" fontId="1" fillId="4" borderId="0" xfId="11" applyNumberFormat="1" applyFont="1" applyFill="1" applyBorder="1"/>
    <xf numFmtId="165" fontId="20" fillId="2" borderId="0" xfId="5" applyNumberFormat="1" applyFont="1" applyFill="1" applyBorder="1"/>
    <xf numFmtId="0" fontId="1" fillId="5" borderId="0" xfId="11" applyNumberFormat="1" applyFont="1" applyFill="1" applyBorder="1"/>
    <xf numFmtId="0" fontId="1" fillId="0" borderId="0" xfId="11" applyNumberFormat="1" applyFont="1" applyFill="1" applyBorder="1"/>
    <xf numFmtId="0" fontId="1" fillId="5" borderId="0" xfId="11" applyNumberFormat="1" applyFont="1" applyFill="1" applyBorder="1"/>
    <xf numFmtId="0" fontId="1" fillId="0" borderId="0" xfId="11" applyNumberFormat="1" applyFont="1" applyFill="1" applyBorder="1"/>
    <xf numFmtId="0" fontId="1" fillId="4" borderId="0" xfId="11" applyNumberFormat="1" applyFont="1" applyFill="1" applyBorder="1"/>
    <xf numFmtId="165" fontId="0" fillId="0" borderId="0" xfId="12" applyNumberFormat="1" applyFont="1" applyFill="1" applyBorder="1"/>
    <xf numFmtId="168" fontId="0" fillId="4" borderId="0" xfId="12" applyNumberFormat="1" applyFont="1" applyFill="1" applyBorder="1"/>
    <xf numFmtId="0" fontId="0" fillId="0" borderId="0" xfId="12" applyNumberFormat="1" applyFont="1" applyFill="1" applyBorder="1"/>
    <xf numFmtId="170" fontId="5" fillId="0" borderId="0" xfId="12" applyNumberFormat="1" applyFont="1" applyFill="1" applyBorder="1"/>
    <xf numFmtId="165" fontId="0" fillId="0" borderId="0" xfId="12" applyNumberFormat="1" applyFont="1" applyFill="1" applyBorder="1"/>
    <xf numFmtId="165" fontId="5" fillId="0" borderId="0" xfId="12" applyNumberFormat="1" applyFont="1" applyFill="1" applyBorder="1"/>
    <xf numFmtId="168" fontId="0" fillId="0" borderId="0" xfId="12" applyNumberFormat="1" applyFont="1" applyFill="1" applyBorder="1"/>
    <xf numFmtId="168" fontId="5" fillId="0" borderId="0" xfId="12" applyNumberFormat="1" applyFont="1" applyFill="1" applyBorder="1"/>
    <xf numFmtId="181" fontId="5" fillId="0" borderId="0" xfId="12" applyNumberFormat="1" applyFont="1" applyFill="1" applyBorder="1"/>
    <xf numFmtId="171" fontId="5" fillId="0" borderId="0" xfId="12" applyNumberFormat="1" applyFont="1" applyFill="1" applyBorder="1"/>
    <xf numFmtId="182" fontId="5" fillId="0" borderId="0" xfId="12" applyNumberFormat="1" applyFont="1" applyFill="1" applyBorder="1"/>
    <xf numFmtId="171" fontId="0" fillId="0" borderId="0" xfId="12" applyNumberFormat="1" applyFont="1" applyFill="1" applyBorder="1"/>
    <xf numFmtId="168" fontId="0" fillId="0" borderId="0" xfId="12" applyNumberFormat="1" applyFont="1" applyFill="1" applyBorder="1"/>
    <xf numFmtId="0" fontId="0" fillId="4" borderId="0" xfId="12" applyNumberFormat="1" applyFont="1" applyFill="1" applyBorder="1"/>
    <xf numFmtId="168" fontId="5" fillId="7" borderId="0" xfId="0" applyNumberFormat="1" applyFont="1" applyFill="1" applyBorder="1"/>
    <xf numFmtId="167" fontId="5" fillId="8" borderId="7" xfId="0" applyNumberFormat="1" applyFont="1" applyFill="1" applyBorder="1" applyAlignment="1">
      <alignment horizontal="left"/>
    </xf>
    <xf numFmtId="170" fontId="2" fillId="8" borderId="7" xfId="2" applyNumberFormat="1" applyFont="1" applyFill="1" applyBorder="1"/>
    <xf numFmtId="170" fontId="5" fillId="8" borderId="7" xfId="0" applyNumberFormat="1" applyFont="1" applyFill="1" applyBorder="1"/>
    <xf numFmtId="170" fontId="22" fillId="8" borderId="7" xfId="0" applyNumberFormat="1" applyFont="1" applyFill="1" applyBorder="1"/>
    <xf numFmtId="165" fontId="2" fillId="8" borderId="7" xfId="2" applyNumberFormat="1" applyFont="1" applyFill="1" applyBorder="1" applyAlignment="1">
      <alignment horizontal="left"/>
    </xf>
    <xf numFmtId="165" fontId="2" fillId="8" borderId="7" xfId="2" applyNumberFormat="1" applyFont="1" applyFill="1" applyBorder="1"/>
    <xf numFmtId="165" fontId="2" fillId="8" borderId="0" xfId="2" applyNumberFormat="1" applyFont="1" applyFill="1" applyBorder="1" applyAlignment="1">
      <alignment horizontal="left"/>
    </xf>
    <xf numFmtId="168" fontId="0" fillId="7" borderId="0" xfId="0" applyNumberFormat="1" applyFont="1" applyFill="1" applyBorder="1"/>
    <xf numFmtId="168" fontId="0" fillId="8" borderId="0" xfId="0" applyNumberFormat="1" applyFont="1" applyFill="1" applyBorder="1" applyAlignment="1">
      <alignment horizontal="left"/>
    </xf>
    <xf numFmtId="168" fontId="0" fillId="7" borderId="0" xfId="0" applyNumberFormat="1" applyFont="1" applyFill="1" applyBorder="1" applyAlignment="1">
      <alignment horizontal="right"/>
    </xf>
    <xf numFmtId="168" fontId="0" fillId="8" borderId="0" xfId="0" applyNumberFormat="1" applyFont="1" applyFill="1" applyBorder="1" applyAlignment="1">
      <alignment horizontal="right"/>
    </xf>
    <xf numFmtId="168" fontId="21" fillId="8" borderId="0" xfId="0" applyNumberFormat="1" applyFont="1" applyFill="1" applyBorder="1" applyAlignment="1">
      <alignment horizontal="right"/>
    </xf>
    <xf numFmtId="168" fontId="28" fillId="7" borderId="0" xfId="0" applyNumberFormat="1" applyFont="1" applyFill="1" applyBorder="1" applyAlignment="1">
      <alignment horizontal="right"/>
    </xf>
    <xf numFmtId="168" fontId="7" fillId="8" borderId="0" xfId="0" applyNumberFormat="1" applyFont="1" applyFill="1" applyBorder="1"/>
    <xf numFmtId="168" fontId="28" fillId="7" borderId="0" xfId="0" applyNumberFormat="1" applyFont="1" applyFill="1" applyBorder="1"/>
    <xf numFmtId="170" fontId="0" fillId="7" borderId="0" xfId="0" applyNumberFormat="1" applyFont="1" applyFill="1" applyBorder="1"/>
    <xf numFmtId="170" fontId="0" fillId="8" borderId="0" xfId="0" applyNumberFormat="1" applyFont="1" applyFill="1" applyBorder="1"/>
    <xf numFmtId="170" fontId="2" fillId="8" borderId="7" xfId="2" applyNumberFormat="1" applyFont="1" applyFill="1" applyBorder="1" applyAlignment="1">
      <alignment horizontal="left"/>
    </xf>
    <xf numFmtId="0" fontId="5" fillId="0" borderId="0" xfId="0" applyNumberFormat="1" applyFont="1" applyFill="1" applyBorder="1"/>
    <xf numFmtId="170" fontId="2" fillId="8" borderId="0" xfId="2" applyNumberFormat="1" applyFont="1" applyFill="1" applyBorder="1"/>
    <xf numFmtId="170" fontId="5" fillId="7" borderId="0" xfId="0" applyNumberFormat="1" applyFont="1" applyFill="1" applyBorder="1"/>
    <xf numFmtId="0" fontId="0" fillId="0" borderId="0" xfId="0" applyNumberFormat="1" applyFont="1" applyFill="1" applyBorder="1"/>
    <xf numFmtId="167" fontId="5" fillId="0" borderId="0" xfId="12" applyNumberFormat="1" applyFont="1" applyFill="1" applyBorder="1"/>
    <xf numFmtId="165" fontId="0" fillId="0" borderId="0" xfId="0" applyNumberFormat="1" applyFont="1" applyFill="1" applyBorder="1"/>
    <xf numFmtId="165" fontId="19" fillId="0" borderId="0" xfId="0" applyNumberFormat="1" applyFont="1" applyFill="1" applyBorder="1"/>
    <xf numFmtId="170" fontId="0" fillId="0" borderId="0" xfId="0" applyNumberFormat="1" applyFont="1" applyFill="1" applyBorder="1"/>
    <xf numFmtId="165" fontId="5" fillId="0" borderId="0" xfId="0" applyNumberFormat="1" applyFont="1" applyFill="1" applyBorder="1"/>
    <xf numFmtId="167" fontId="0" fillId="0" borderId="0" xfId="0" applyNumberFormat="1" applyFont="1" applyFill="1" applyBorder="1"/>
    <xf numFmtId="168" fontId="5" fillId="0" borderId="0" xfId="0" applyNumberFormat="1" applyFont="1" applyFill="1" applyBorder="1"/>
    <xf numFmtId="168" fontId="0" fillId="0" borderId="0" xfId="0" applyNumberFormat="1" applyFont="1" applyFill="1" applyBorder="1"/>
    <xf numFmtId="167" fontId="5" fillId="0" borderId="0" xfId="0" applyNumberFormat="1" applyFont="1" applyFill="1" applyBorder="1"/>
    <xf numFmtId="183" fontId="5" fillId="0" borderId="0" xfId="0" applyNumberFormat="1" applyFont="1" applyFill="1" applyBorder="1"/>
    <xf numFmtId="166" fontId="0" fillId="0" borderId="0" xfId="0" applyNumberFormat="1" applyFont="1" applyFill="1" applyBorder="1"/>
    <xf numFmtId="170" fontId="5" fillId="0" borderId="0" xfId="0" applyNumberFormat="1" applyFont="1" applyFill="1" applyBorder="1"/>
    <xf numFmtId="168" fontId="0" fillId="0" borderId="0" xfId="0" applyNumberFormat="1" applyFont="1" applyFill="1" applyBorder="1"/>
    <xf numFmtId="168" fontId="22" fillId="0" borderId="0" xfId="0" applyNumberFormat="1" applyFont="1" applyFill="1" applyBorder="1"/>
    <xf numFmtId="173" fontId="0" fillId="0" borderId="0" xfId="0" applyNumberFormat="1" applyFont="1" applyFill="1" applyBorder="1"/>
    <xf numFmtId="171" fontId="5" fillId="0" borderId="0" xfId="0" applyNumberFormat="1" applyFont="1" applyFill="1" applyBorder="1"/>
    <xf numFmtId="0" fontId="0" fillId="0" borderId="0" xfId="0" applyNumberFormat="1" applyFont="1" applyFill="1" applyBorder="1"/>
    <xf numFmtId="171" fontId="0" fillId="0" borderId="0" xfId="0" applyNumberFormat="1" applyFont="1" applyFill="1" applyBorder="1"/>
    <xf numFmtId="0" fontId="0" fillId="8" borderId="0" xfId="0" applyNumberFormat="1" applyFont="1" applyFill="1" applyBorder="1"/>
    <xf numFmtId="165" fontId="27" fillId="8" borderId="0" xfId="12" applyNumberFormat="1" applyFont="1" applyFill="1" applyBorder="1" applyAlignment="1">
      <alignment horizontal="center"/>
    </xf>
    <xf numFmtId="170" fontId="26" fillId="7" borderId="0" xfId="12" applyNumberFormat="1" applyFont="1" applyFill="1" applyBorder="1" applyAlignment="1">
      <alignment horizontal="right"/>
    </xf>
    <xf numFmtId="170" fontId="26" fillId="8" borderId="0" xfId="12" applyNumberFormat="1" applyFont="1" applyFill="1" applyBorder="1" applyAlignment="1">
      <alignment horizontal="right"/>
    </xf>
    <xf numFmtId="170" fontId="26" fillId="7" borderId="0" xfId="12" applyNumberFormat="1" applyFont="1" applyFill="1" applyBorder="1"/>
    <xf numFmtId="168" fontId="28" fillId="7" borderId="0" xfId="12" applyNumberFormat="1" applyFont="1" applyFill="1" applyBorder="1" applyAlignment="1">
      <alignment horizontal="right"/>
    </xf>
    <xf numFmtId="168" fontId="28" fillId="8" borderId="0" xfId="12" applyNumberFormat="1" applyFont="1" applyFill="1" applyBorder="1" applyAlignment="1">
      <alignment horizontal="right"/>
    </xf>
    <xf numFmtId="168" fontId="26" fillId="7" borderId="7" xfId="12" applyNumberFormat="1" applyFont="1" applyFill="1" applyBorder="1" applyAlignment="1">
      <alignment horizontal="right"/>
    </xf>
    <xf numFmtId="168" fontId="26" fillId="8" borderId="7" xfId="12" applyNumberFormat="1" applyFont="1" applyFill="1" applyBorder="1" applyAlignment="1">
      <alignment horizontal="right"/>
    </xf>
    <xf numFmtId="167" fontId="26" fillId="7" borderId="0" xfId="12" applyNumberFormat="1" applyFont="1" applyFill="1" applyBorder="1"/>
    <xf numFmtId="167" fontId="26" fillId="8" borderId="0" xfId="12" applyNumberFormat="1" applyFont="1" applyFill="1" applyBorder="1"/>
    <xf numFmtId="170" fontId="26" fillId="8" borderId="0" xfId="12" applyNumberFormat="1" applyFont="1" applyFill="1" applyBorder="1"/>
    <xf numFmtId="168" fontId="26" fillId="7" borderId="0" xfId="12" applyNumberFormat="1" applyFont="1" applyFill="1" applyBorder="1" applyAlignment="1">
      <alignment horizontal="center"/>
    </xf>
    <xf numFmtId="168" fontId="26" fillId="8" borderId="0" xfId="12" applyNumberFormat="1" applyFont="1" applyFill="1" applyBorder="1" applyAlignment="1">
      <alignment horizontal="center"/>
    </xf>
    <xf numFmtId="168" fontId="28" fillId="8" borderId="0" xfId="12" applyNumberFormat="1" applyFont="1" applyFill="1" applyBorder="1" applyAlignment="1">
      <alignment horizontal="center"/>
    </xf>
    <xf numFmtId="168" fontId="28" fillId="7" borderId="0" xfId="12" applyNumberFormat="1" applyFont="1" applyFill="1" applyBorder="1"/>
    <xf numFmtId="168" fontId="26" fillId="7" borderId="0" xfId="12" applyNumberFormat="1" applyFont="1" applyFill="1" applyBorder="1" applyAlignment="1">
      <alignment horizontal="right"/>
    </xf>
    <xf numFmtId="168" fontId="26" fillId="8" borderId="0" xfId="12" applyNumberFormat="1" applyFont="1" applyFill="1" applyBorder="1" applyAlignment="1">
      <alignment horizontal="right"/>
    </xf>
    <xf numFmtId="181" fontId="26" fillId="7" borderId="0" xfId="12" applyNumberFormat="1" applyFont="1" applyFill="1" applyBorder="1" applyAlignment="1">
      <alignment horizontal="right"/>
    </xf>
    <xf numFmtId="181" fontId="26" fillId="8" borderId="0" xfId="12" applyNumberFormat="1" applyFont="1" applyFill="1" applyBorder="1" applyAlignment="1">
      <alignment horizontal="right"/>
    </xf>
    <xf numFmtId="171" fontId="26" fillId="8" borderId="0" xfId="12" applyNumberFormat="1" applyFont="1" applyFill="1" applyBorder="1" applyAlignment="1">
      <alignment horizontal="right"/>
    </xf>
    <xf numFmtId="171" fontId="26" fillId="8" borderId="0" xfId="12" applyNumberFormat="1" applyFont="1" applyFill="1" applyBorder="1"/>
    <xf numFmtId="182" fontId="26" fillId="8" borderId="0" xfId="12" applyNumberFormat="1" applyFont="1" applyFill="1" applyBorder="1" applyAlignment="1">
      <alignment horizontal="right"/>
    </xf>
    <xf numFmtId="171" fontId="28" fillId="7" borderId="0" xfId="12" applyNumberFormat="1" applyFont="1" applyFill="1" applyBorder="1" applyAlignment="1">
      <alignment horizontal="right"/>
    </xf>
    <xf numFmtId="171" fontId="28" fillId="8" borderId="0" xfId="12" applyNumberFormat="1" applyFont="1" applyFill="1" applyBorder="1" applyAlignment="1">
      <alignment horizontal="right"/>
    </xf>
    <xf numFmtId="171" fontId="28" fillId="8" borderId="0" xfId="12" applyNumberFormat="1" applyFont="1" applyFill="1" applyBorder="1"/>
    <xf numFmtId="0" fontId="3" fillId="0" borderId="9" xfId="7" applyNumberFormat="1" applyFont="1" applyFill="1" applyBorder="1" applyAlignment="1">
      <alignment horizontal="left"/>
    </xf>
    <xf numFmtId="0" fontId="3" fillId="4" borderId="9" xfId="7" applyNumberFormat="1" applyFont="1" applyFill="1" applyBorder="1" applyAlignment="1">
      <alignment horizontal="left"/>
    </xf>
    <xf numFmtId="168" fontId="22" fillId="8" borderId="0" xfId="0" applyNumberFormat="1" applyFont="1" applyFill="1" applyBorder="1" applyAlignment="1">
      <alignment horizontal="left" indent="1"/>
    </xf>
    <xf numFmtId="168" fontId="22" fillId="7" borderId="0" xfId="0" applyNumberFormat="1" applyFont="1" applyFill="1" applyBorder="1" applyAlignment="1">
      <alignment horizontal="right"/>
    </xf>
    <xf numFmtId="168" fontId="22" fillId="8" borderId="0" xfId="0" applyNumberFormat="1" applyFont="1" applyFill="1" applyBorder="1" applyAlignment="1">
      <alignment horizontal="right"/>
    </xf>
    <xf numFmtId="168" fontId="12" fillId="8" borderId="0" xfId="0" applyNumberFormat="1" applyFont="1" applyFill="1" applyBorder="1" applyAlignment="1">
      <alignment horizontal="right"/>
    </xf>
    <xf numFmtId="1" fontId="22" fillId="8" borderId="0" xfId="0" applyNumberFormat="1" applyFont="1" applyFill="1" applyBorder="1" applyAlignment="1">
      <alignment horizontal="center"/>
    </xf>
    <xf numFmtId="0" fontId="2" fillId="8" borderId="0" xfId="0" applyNumberFormat="1" applyFont="1" applyFill="1" applyBorder="1" applyAlignment="1">
      <alignment horizontal="center"/>
    </xf>
    <xf numFmtId="168" fontId="28" fillId="8" borderId="0" xfId="0" applyNumberFormat="1" applyFont="1" applyFill="1" applyBorder="1" applyAlignment="1">
      <alignment horizontal="right"/>
    </xf>
    <xf numFmtId="168" fontId="25" fillId="10" borderId="0" xfId="0" applyNumberFormat="1" applyFont="1" applyFill="1" applyBorder="1"/>
    <xf numFmtId="170" fontId="22" fillId="8" borderId="0" xfId="2" applyNumberFormat="1" applyFont="1" applyFill="1" applyBorder="1"/>
    <xf numFmtId="168" fontId="5" fillId="8" borderId="0" xfId="0" applyNumberFormat="1" applyFont="1" applyFill="1" applyBorder="1" applyAlignment="1">
      <alignment horizontal="right"/>
    </xf>
    <xf numFmtId="170" fontId="5" fillId="8" borderId="0" xfId="2" applyNumberFormat="1" applyFont="1" applyFill="1" applyBorder="1"/>
    <xf numFmtId="0" fontId="1" fillId="4" borderId="9" xfId="11" applyNumberFormat="1" applyFont="1" applyFill="1" applyBorder="1" applyAlignment="1">
      <alignment horizontal="center"/>
    </xf>
    <xf numFmtId="184" fontId="2" fillId="8" borderId="0" xfId="0" applyNumberFormat="1" applyFont="1" applyFill="1" applyBorder="1"/>
    <xf numFmtId="0" fontId="34" fillId="5" borderId="0" xfId="11" applyNumberFormat="1" applyFont="1" applyFill="1" applyBorder="1" applyAlignment="1">
      <alignment horizontal="center"/>
    </xf>
    <xf numFmtId="185" fontId="2" fillId="5" borderId="0" xfId="11" applyNumberFormat="1" applyFont="1" applyFill="1" applyBorder="1" applyAlignment="1">
      <alignment horizontal="right"/>
    </xf>
    <xf numFmtId="168" fontId="5" fillId="7" borderId="0" xfId="0" applyNumberFormat="1" applyFont="1" applyFill="1" applyBorder="1" applyAlignment="1">
      <alignment horizontal="right"/>
    </xf>
    <xf numFmtId="170" fontId="5" fillId="7" borderId="0" xfId="2" applyNumberFormat="1" applyFont="1" applyFill="1" applyBorder="1"/>
    <xf numFmtId="173" fontId="0" fillId="7" borderId="0" xfId="0" applyNumberFormat="1" applyFont="1" applyFill="1" applyBorder="1"/>
    <xf numFmtId="171" fontId="5" fillId="7" borderId="0" xfId="0" applyNumberFormat="1" applyFont="1" applyFill="1" applyBorder="1" applyAlignment="1">
      <alignment horizontal="right"/>
    </xf>
    <xf numFmtId="171" fontId="0" fillId="7" borderId="0" xfId="0" applyNumberFormat="1" applyFont="1" applyFill="1" applyBorder="1" applyAlignment="1">
      <alignment horizontal="right"/>
    </xf>
    <xf numFmtId="1" fontId="5" fillId="8" borderId="0" xfId="0" applyNumberFormat="1" applyFont="1" applyFill="1" applyBorder="1" applyAlignment="1">
      <alignment horizontal="center"/>
    </xf>
    <xf numFmtId="17" fontId="6" fillId="8" borderId="0" xfId="0" applyNumberFormat="1" applyFont="1" applyFill="1" applyBorder="1" applyAlignment="1">
      <alignment horizontal="center"/>
    </xf>
    <xf numFmtId="0" fontId="4" fillId="8" borderId="0" xfId="0" applyNumberFormat="1" applyFont="1" applyFill="1" applyBorder="1" applyAlignment="1">
      <alignment horizontal="center"/>
    </xf>
    <xf numFmtId="0" fontId="3" fillId="0" borderId="9" xfId="7" applyNumberFormat="1" applyFont="1" applyFill="1" applyBorder="1"/>
    <xf numFmtId="165" fontId="29" fillId="0" borderId="0" xfId="0" applyNumberFormat="1" applyFont="1" applyFill="1" applyBorder="1"/>
    <xf numFmtId="170" fontId="30" fillId="8" borderId="0" xfId="0" applyNumberFormat="1" applyFont="1" applyFill="1" applyBorder="1"/>
    <xf numFmtId="170" fontId="29" fillId="7" borderId="0" xfId="0" applyNumberFormat="1" applyFont="1" applyFill="1" applyBorder="1" applyAlignment="1">
      <alignment horizontal="right"/>
    </xf>
    <xf numFmtId="170" fontId="29" fillId="0" borderId="0" xfId="0" applyNumberFormat="1" applyFont="1" applyFill="1" applyBorder="1"/>
    <xf numFmtId="170" fontId="30" fillId="8" borderId="0" xfId="2" applyNumberFormat="1" applyFont="1" applyFill="1" applyBorder="1"/>
    <xf numFmtId="170" fontId="29" fillId="7" borderId="0" xfId="0" applyNumberFormat="1" applyFont="1" applyFill="1" applyBorder="1"/>
    <xf numFmtId="168" fontId="19" fillId="0" borderId="0" xfId="0" applyNumberFormat="1" applyFont="1" applyFill="1" applyBorder="1" applyAlignment="1">
      <alignment horizontal="left" indent="1"/>
    </xf>
    <xf numFmtId="168" fontId="26" fillId="8" borderId="0" xfId="0" applyNumberFormat="1" applyFont="1" applyFill="1" applyBorder="1" applyAlignment="1">
      <alignment horizontal="right"/>
    </xf>
    <xf numFmtId="168" fontId="26" fillId="7" borderId="0" xfId="0" applyNumberFormat="1" applyFont="1" applyFill="1" applyBorder="1" applyAlignment="1">
      <alignment horizontal="right"/>
    </xf>
    <xf numFmtId="168" fontId="26" fillId="0" borderId="0" xfId="0" applyNumberFormat="1" applyFont="1" applyFill="1" applyBorder="1"/>
    <xf numFmtId="168" fontId="26" fillId="8" borderId="7" xfId="0" applyNumberFormat="1" applyFont="1" applyFill="1" applyBorder="1" applyAlignment="1">
      <alignment horizontal="left" indent="1"/>
    </xf>
    <xf numFmtId="168" fontId="27" fillId="8" borderId="7" xfId="2" applyNumberFormat="1" applyFont="1" applyFill="1" applyBorder="1"/>
    <xf numFmtId="168" fontId="30" fillId="8" borderId="0" xfId="0" applyNumberFormat="1" applyFont="1" applyFill="1" applyBorder="1"/>
    <xf numFmtId="168" fontId="29" fillId="7" borderId="0" xfId="0" applyNumberFormat="1" applyFont="1" applyFill="1" applyBorder="1"/>
    <xf numFmtId="168" fontId="29" fillId="0" borderId="0" xfId="0" applyNumberFormat="1" applyFont="1" applyFill="1" applyBorder="1"/>
    <xf numFmtId="168" fontId="20" fillId="8" borderId="0" xfId="10" applyNumberFormat="1" applyFont="1" applyFill="1" applyBorder="1"/>
    <xf numFmtId="165" fontId="20" fillId="8" borderId="0" xfId="10" applyNumberFormat="1" applyFont="1" applyFill="1" applyBorder="1"/>
    <xf numFmtId="174" fontId="20" fillId="8" borderId="0" xfId="2" applyNumberFormat="1" applyFont="1" applyFill="1" applyBorder="1"/>
    <xf numFmtId="165" fontId="35" fillId="10" borderId="0" xfId="12" applyNumberFormat="1" applyFont="1" applyFill="1" applyBorder="1"/>
    <xf numFmtId="168" fontId="25" fillId="10" borderId="0" xfId="12" applyNumberFormat="1" applyFont="1" applyFill="1" applyBorder="1"/>
    <xf numFmtId="168" fontId="36" fillId="10" borderId="0" xfId="12" applyNumberFormat="1" applyFont="1" applyFill="1" applyBorder="1"/>
    <xf numFmtId="165" fontId="25" fillId="10" borderId="0" xfId="12" applyNumberFormat="1" applyFont="1" applyFill="1" applyBorder="1"/>
    <xf numFmtId="14" fontId="6" fillId="4" borderId="10" xfId="11" applyNumberFormat="1" applyFont="1" applyFill="1" applyBorder="1" applyAlignment="1">
      <alignment horizontal="center"/>
    </xf>
    <xf numFmtId="0" fontId="6" fillId="4" borderId="10" xfId="11" applyNumberFormat="1" applyFont="1" applyFill="1" applyBorder="1" applyAlignment="1">
      <alignment horizontal="center"/>
    </xf>
    <xf numFmtId="0" fontId="1" fillId="4" borderId="10" xfId="11" applyNumberFormat="1" applyFont="1" applyFill="1" applyBorder="1" applyAlignment="1">
      <alignment horizontal="center"/>
    </xf>
    <xf numFmtId="14" fontId="6" fillId="4" borderId="9" xfId="11" applyNumberFormat="1" applyFont="1" applyFill="1" applyBorder="1" applyAlignment="1">
      <alignment horizontal="center"/>
    </xf>
    <xf numFmtId="0" fontId="6" fillId="4" borderId="9" xfId="11" applyNumberFormat="1" applyFont="1" applyFill="1" applyBorder="1" applyAlignment="1">
      <alignment horizontal="center"/>
    </xf>
    <xf numFmtId="0" fontId="1" fillId="4" borderId="9" xfId="11" applyNumberFormat="1" applyFont="1" applyFill="1" applyBorder="1" applyAlignment="1">
      <alignment horizontal="center"/>
    </xf>
    <xf numFmtId="165" fontId="1" fillId="8" borderId="0" xfId="2" applyNumberFormat="1" applyFont="1" applyFill="1" applyBorder="1" applyAlignment="1">
      <alignment horizontal="left" indent="2"/>
    </xf>
    <xf numFmtId="165" fontId="1" fillId="8" borderId="2" xfId="2" applyNumberFormat="1" applyFont="1" applyFill="1" applyBorder="1" applyAlignment="1">
      <alignment horizontal="left" indent="2"/>
    </xf>
    <xf numFmtId="165" fontId="1" fillId="8" borderId="0" xfId="2" applyNumberFormat="1" applyFont="1" applyFill="1" applyBorder="1"/>
    <xf numFmtId="170" fontId="1" fillId="8" borderId="0" xfId="2" applyNumberFormat="1" applyFont="1" applyFill="1" applyBorder="1"/>
    <xf numFmtId="165" fontId="1" fillId="8" borderId="7" xfId="2" applyNumberFormat="1" applyFont="1" applyFill="1" applyBorder="1"/>
    <xf numFmtId="170" fontId="1" fillId="8" borderId="0" xfId="2" applyNumberFormat="1" applyFont="1" applyFill="1" applyBorder="1" applyAlignment="1">
      <alignment horizontal="left" indent="1"/>
    </xf>
    <xf numFmtId="170" fontId="1" fillId="8" borderId="0" xfId="2" applyNumberFormat="1" applyFont="1" applyFill="1" applyBorder="1" applyAlignment="1">
      <alignment horizontal="left"/>
    </xf>
    <xf numFmtId="165" fontId="20" fillId="8" borderId="0" xfId="2" applyNumberFormat="1" applyFont="1" applyFill="1" applyBorder="1" applyAlignment="1">
      <alignment horizontal="left" indent="1"/>
    </xf>
    <xf numFmtId="165" fontId="28" fillId="8" borderId="0" xfId="0" applyNumberFormat="1" applyFont="1" applyFill="1" applyBorder="1" applyAlignment="1">
      <alignment horizontal="left" indent="3"/>
    </xf>
    <xf numFmtId="168" fontId="28" fillId="8" borderId="0" xfId="0" applyNumberFormat="1" applyFont="1" applyFill="1" applyBorder="1" applyAlignment="1">
      <alignment horizontal="left" indent="3"/>
    </xf>
    <xf numFmtId="168" fontId="20" fillId="8" borderId="0" xfId="2" applyNumberFormat="1" applyFont="1" applyFill="1" applyBorder="1" applyAlignment="1">
      <alignment horizontal="left" indent="1"/>
    </xf>
    <xf numFmtId="165" fontId="28" fillId="8" borderId="0" xfId="0" applyNumberFormat="1" applyFont="1" applyFill="1" applyBorder="1" applyAlignment="1">
      <alignment horizontal="left" indent="1"/>
    </xf>
    <xf numFmtId="14" fontId="6" fillId="4" borderId="9" xfId="11" applyNumberFormat="1" applyFont="1" applyFill="1" applyBorder="1" applyAlignment="1">
      <alignment horizontal="center"/>
    </xf>
    <xf numFmtId="0" fontId="6" fillId="4" borderId="9" xfId="11" applyNumberFormat="1" applyFont="1" applyFill="1" applyBorder="1" applyAlignment="1">
      <alignment horizontal="center"/>
    </xf>
    <xf numFmtId="0" fontId="1" fillId="4" borderId="9" xfId="11" applyNumberFormat="1" applyFont="1" applyFill="1" applyBorder="1" applyAlignment="1">
      <alignment horizontal="center"/>
    </xf>
    <xf numFmtId="0" fontId="3" fillId="0" borderId="9" xfId="7" applyNumberFormat="1" applyFont="1" applyFill="1" applyBorder="1"/>
    <xf numFmtId="168" fontId="28" fillId="8" borderId="0" xfId="0" applyNumberFormat="1" applyFont="1" applyFill="1" applyBorder="1" applyAlignment="1">
      <alignment horizontal="left" indent="1"/>
    </xf>
    <xf numFmtId="168" fontId="0" fillId="8" borderId="0" xfId="0" applyNumberFormat="1" applyFont="1" applyFill="1" applyBorder="1" applyAlignment="1">
      <alignment horizontal="left" indent="1"/>
    </xf>
    <xf numFmtId="168" fontId="5" fillId="8" borderId="0" xfId="0" applyNumberFormat="1" applyFont="1" applyFill="1" applyBorder="1" applyAlignment="1">
      <alignment horizontal="left"/>
    </xf>
    <xf numFmtId="168" fontId="26" fillId="8" borderId="0" xfId="0" applyNumberFormat="1" applyFont="1" applyFill="1" applyBorder="1" applyAlignment="1">
      <alignment horizontal="left" indent="1"/>
    </xf>
    <xf numFmtId="168" fontId="30" fillId="8" borderId="0" xfId="0" applyNumberFormat="1" applyFont="1" applyFill="1" applyBorder="1" applyAlignment="1">
      <alignment horizontal="left" indent="1"/>
    </xf>
    <xf numFmtId="168" fontId="5" fillId="8" borderId="0" xfId="0" applyNumberFormat="1" applyFont="1" applyFill="1" applyBorder="1" applyAlignment="1">
      <alignment horizontal="left" indent="1"/>
    </xf>
    <xf numFmtId="170" fontId="30" fillId="8" borderId="0" xfId="0" applyNumberFormat="1" applyFont="1" applyFill="1" applyBorder="1" applyAlignment="1">
      <alignment horizontal="left" indent="1"/>
    </xf>
    <xf numFmtId="170" fontId="2" fillId="8" borderId="0" xfId="0" applyNumberFormat="1" applyFont="1" applyFill="1" applyBorder="1" applyAlignment="1">
      <alignment horizontal="left"/>
    </xf>
    <xf numFmtId="173" fontId="1" fillId="8" borderId="0" xfId="2" applyNumberFormat="1" applyFont="1" applyFill="1" applyBorder="1"/>
    <xf numFmtId="171" fontId="2" fillId="8" borderId="0" xfId="0" applyNumberFormat="1" applyFont="1" applyFill="1" applyBorder="1"/>
    <xf numFmtId="171" fontId="1" fillId="8" borderId="0" xfId="0" applyNumberFormat="1" applyFont="1" applyFill="1" applyBorder="1"/>
    <xf numFmtId="165" fontId="5" fillId="8" borderId="0" xfId="0" applyNumberFormat="1" applyFont="1" applyFill="1" applyBorder="1" applyAlignment="1">
      <alignment horizontal="left" indent="1"/>
    </xf>
    <xf numFmtId="0" fontId="0" fillId="0" borderId="0" xfId="0" applyNumberFormat="1" applyFont="1" applyFill="1" applyBorder="1"/>
    <xf numFmtId="168" fontId="20" fillId="8" borderId="0" xfId="2" applyNumberFormat="1" applyFont="1" applyFill="1" applyBorder="1"/>
    <xf numFmtId="168" fontId="27" fillId="8" borderId="0" xfId="2" applyNumberFormat="1" applyFont="1" applyFill="1" applyBorder="1"/>
    <xf numFmtId="168" fontId="29" fillId="8" borderId="0" xfId="0" applyNumberFormat="1" applyFont="1" applyFill="1" applyBorder="1" applyAlignment="1">
      <alignment horizontal="left" indent="3"/>
    </xf>
    <xf numFmtId="170" fontId="29" fillId="8" borderId="0" xfId="0" applyNumberFormat="1" applyFont="1" applyFill="1" applyBorder="1" applyAlignment="1">
      <alignment horizontal="left" indent="3"/>
    </xf>
    <xf numFmtId="170" fontId="5" fillId="7" borderId="0" xfId="2" applyNumberFormat="1" applyFont="1" applyFill="1" applyBorder="1" applyAlignment="1">
      <alignment horizontal="right" indent="1"/>
    </xf>
    <xf numFmtId="0" fontId="21" fillId="0" borderId="0" xfId="0" applyNumberFormat="1" applyFont="1" applyFill="1" applyBorder="1"/>
    <xf numFmtId="0" fontId="0" fillId="0" borderId="0" xfId="0" applyNumberFormat="1" applyFont="1" applyFill="1" applyBorder="1"/>
    <xf numFmtId="1" fontId="26" fillId="8" borderId="0" xfId="0" applyNumberFormat="1" applyFont="1" applyFill="1" applyBorder="1" applyAlignment="1">
      <alignment horizontal="center"/>
    </xf>
    <xf numFmtId="17" fontId="20" fillId="8" borderId="0" xfId="0" applyNumberFormat="1" applyFont="1" applyFill="1" applyBorder="1" applyAlignment="1">
      <alignment horizontal="center"/>
    </xf>
    <xf numFmtId="0" fontId="27" fillId="8" borderId="0" xfId="0" applyNumberFormat="1" applyFont="1" applyFill="1" applyBorder="1" applyAlignment="1">
      <alignment horizontal="center"/>
    </xf>
    <xf numFmtId="168" fontId="29" fillId="8" borderId="0" xfId="0" applyNumberFormat="1" applyFont="1" applyFill="1" applyBorder="1" applyAlignment="1">
      <alignment horizontal="left" indent="1"/>
    </xf>
    <xf numFmtId="168" fontId="12" fillId="8" borderId="0" xfId="0" applyNumberFormat="1" applyFont="1" applyFill="1" applyBorder="1"/>
    <xf numFmtId="170" fontId="26" fillId="8" borderId="0" xfId="0" applyNumberFormat="1" applyFont="1" applyFill="1" applyBorder="1"/>
    <xf numFmtId="170" fontId="26" fillId="8" borderId="0" xfId="2" applyNumberFormat="1" applyFont="1" applyFill="1" applyBorder="1"/>
    <xf numFmtId="173" fontId="7" fillId="8" borderId="0" xfId="0" applyNumberFormat="1" applyFont="1" applyFill="1" applyBorder="1"/>
    <xf numFmtId="168" fontId="29" fillId="7" borderId="0" xfId="0" applyNumberFormat="1" applyFont="1" applyFill="1" applyBorder="1" applyAlignment="1">
      <alignment horizontal="right"/>
    </xf>
    <xf numFmtId="168" fontId="29" fillId="7" borderId="0" xfId="0" applyNumberFormat="1" applyFont="1" applyFill="1" applyBorder="1" applyAlignment="1">
      <alignment horizontal="left" indent="1"/>
    </xf>
    <xf numFmtId="168" fontId="26" fillId="7" borderId="0" xfId="0" applyNumberFormat="1" applyFont="1" applyFill="1" applyBorder="1"/>
    <xf numFmtId="170" fontId="26" fillId="7" borderId="0" xfId="0" applyNumberFormat="1" applyFont="1" applyFill="1" applyBorder="1"/>
    <xf numFmtId="170" fontId="26" fillId="7" borderId="0" xfId="2" applyNumberFormat="1" applyFont="1" applyFill="1" applyBorder="1"/>
    <xf numFmtId="173" fontId="28" fillId="7" borderId="0" xfId="0" applyNumberFormat="1" applyFont="1" applyFill="1" applyBorder="1"/>
    <xf numFmtId="171" fontId="26" fillId="7" borderId="0" xfId="0" applyNumberFormat="1" applyFont="1" applyFill="1" applyBorder="1" applyAlignment="1">
      <alignment horizontal="right"/>
    </xf>
    <xf numFmtId="171" fontId="28" fillId="7" borderId="0" xfId="0" applyNumberFormat="1" applyFont="1" applyFill="1" applyBorder="1" applyAlignment="1">
      <alignment horizontal="right"/>
    </xf>
    <xf numFmtId="0" fontId="1" fillId="0" borderId="0" xfId="11" applyNumberFormat="1" applyFont="1" applyFill="1" applyBorder="1"/>
    <xf numFmtId="167" fontId="0" fillId="8" borderId="0" xfId="0" applyNumberFormat="1" applyFont="1" applyFill="1" applyBorder="1" applyAlignment="1">
      <alignment horizontal="left" indent="2"/>
    </xf>
    <xf numFmtId="167" fontId="0" fillId="8" borderId="2" xfId="0" applyNumberFormat="1" applyFont="1" applyFill="1" applyBorder="1" applyAlignment="1">
      <alignment horizontal="left" indent="2"/>
    </xf>
    <xf numFmtId="167" fontId="0" fillId="7" borderId="2" xfId="0" applyNumberFormat="1" applyFont="1" applyFill="1" applyBorder="1"/>
    <xf numFmtId="167" fontId="0" fillId="8" borderId="2" xfId="0" applyNumberFormat="1" applyFont="1" applyFill="1" applyBorder="1"/>
    <xf numFmtId="167" fontId="21" fillId="8" borderId="2" xfId="0" applyNumberFormat="1" applyFont="1" applyFill="1" applyBorder="1"/>
    <xf numFmtId="0" fontId="6" fillId="4" borderId="9" xfId="11" applyNumberFormat="1" applyFont="1" applyFill="1" applyBorder="1" applyAlignment="1">
      <alignment horizontal="center"/>
    </xf>
    <xf numFmtId="0" fontId="1" fillId="4" borderId="9" xfId="11" applyNumberFormat="1" applyFont="1" applyFill="1" applyBorder="1" applyAlignment="1">
      <alignment horizontal="center"/>
    </xf>
    <xf numFmtId="0" fontId="3" fillId="0" borderId="9" xfId="7" applyNumberFormat="1" applyFont="1" applyFill="1" applyBorder="1"/>
    <xf numFmtId="14" fontId="6" fillId="4" borderId="9" xfId="11" applyNumberFormat="1" applyFont="1" applyFill="1" applyBorder="1" applyAlignment="1">
      <alignment horizontal="center"/>
    </xf>
    <xf numFmtId="17" fontId="33" fillId="8" borderId="0" xfId="12" applyNumberFormat="1" applyFont="1" applyFill="1" applyBorder="1" applyAlignment="1">
      <alignment horizontal="center"/>
    </xf>
    <xf numFmtId="165" fontId="12" fillId="8" borderId="0" xfId="12" applyNumberFormat="1" applyFont="1" applyFill="1" applyBorder="1" applyAlignment="1">
      <alignment horizontal="left"/>
    </xf>
    <xf numFmtId="0" fontId="38" fillId="4" borderId="0" xfId="12" applyNumberFormat="1" applyFont="1" applyFill="1" applyBorder="1"/>
    <xf numFmtId="0" fontId="5" fillId="4" borderId="0" xfId="12" applyNumberFormat="1" applyFont="1" applyFill="1" applyBorder="1"/>
    <xf numFmtId="0" fontId="19" fillId="4" borderId="0" xfId="12" applyNumberFormat="1" applyFont="1" applyFill="1" applyBorder="1"/>
    <xf numFmtId="0" fontId="0" fillId="4" borderId="0" xfId="12" applyNumberFormat="1" applyFont="1" applyFill="1" applyBorder="1" applyAlignment="1">
      <alignment horizontal="left"/>
    </xf>
    <xf numFmtId="0" fontId="0" fillId="0" borderId="0" xfId="12" applyNumberFormat="1" applyFont="1" applyFill="1" applyBorder="1"/>
    <xf numFmtId="0" fontId="39" fillId="0" borderId="0" xfId="12" applyNumberFormat="1" applyFont="1" applyFill="1" applyBorder="1" applyAlignment="1">
      <alignment horizontal="left"/>
    </xf>
    <xf numFmtId="0" fontId="39" fillId="0" borderId="0" xfId="12" applyNumberFormat="1" applyFont="1" applyFill="1" applyBorder="1" applyAlignment="1">
      <alignment horizontal="center"/>
    </xf>
    <xf numFmtId="0" fontId="0" fillId="4" borderId="0" xfId="12" applyNumberFormat="1" applyFont="1" applyFill="1" applyBorder="1"/>
    <xf numFmtId="0" fontId="0" fillId="0" borderId="0" xfId="12" applyNumberFormat="1" applyFont="1" applyFill="1" applyBorder="1"/>
    <xf numFmtId="0" fontId="7" fillId="4" borderId="0" xfId="12" applyNumberFormat="1" applyFont="1" applyFill="1" applyBorder="1"/>
    <xf numFmtId="0" fontId="38" fillId="0" borderId="0" xfId="12" applyNumberFormat="1" applyFont="1" applyFill="1" applyBorder="1"/>
    <xf numFmtId="0" fontId="5" fillId="0" borderId="0" xfId="12" applyNumberFormat="1" applyFont="1" applyFill="1" applyBorder="1"/>
    <xf numFmtId="0" fontId="19" fillId="0" borderId="0" xfId="12" applyNumberFormat="1" applyFont="1" applyFill="1" applyBorder="1"/>
    <xf numFmtId="168" fontId="0" fillId="0" borderId="0" xfId="12" applyNumberFormat="1" applyFont="1" applyFill="1" applyBorder="1"/>
    <xf numFmtId="0" fontId="0" fillId="0" borderId="0" xfId="12" applyNumberFormat="1" applyFont="1" applyFill="1" applyBorder="1" applyAlignment="1">
      <alignment horizontal="left"/>
    </xf>
    <xf numFmtId="0" fontId="7" fillId="0" borderId="0" xfId="12" applyNumberFormat="1" applyFont="1" applyFill="1" applyBorder="1"/>
    <xf numFmtId="0" fontId="37" fillId="8" borderId="0" xfId="12" applyNumberFormat="1" applyFont="1" applyFill="1" applyBorder="1"/>
    <xf numFmtId="0" fontId="6" fillId="4" borderId="9" xfId="11" applyNumberFormat="1" applyFont="1" applyFill="1" applyBorder="1" applyAlignment="1">
      <alignment horizontal="center"/>
    </xf>
    <xf numFmtId="0" fontId="1" fillId="4" borderId="9" xfId="11" applyNumberFormat="1" applyFont="1" applyFill="1" applyBorder="1" applyAlignment="1">
      <alignment horizontal="center"/>
    </xf>
    <xf numFmtId="0" fontId="3" fillId="0" borderId="9" xfId="7" applyNumberFormat="1" applyFont="1" applyFill="1" applyBorder="1"/>
    <xf numFmtId="14" fontId="6" fillId="4" borderId="9" xfId="11" applyNumberFormat="1" applyFont="1" applyFill="1" applyBorder="1" applyAlignment="1">
      <alignment horizontal="center"/>
    </xf>
    <xf numFmtId="186" fontId="2" fillId="5" borderId="0" xfId="11" applyNumberFormat="1" applyFont="1" applyFill="1" applyBorder="1" applyAlignment="1">
      <alignment horizontal="right"/>
    </xf>
    <xf numFmtId="167" fontId="1" fillId="8" borderId="0" xfId="2" applyNumberFormat="1" applyFont="1" applyFill="1" applyBorder="1" applyAlignment="1">
      <alignment horizontal="left" indent="1"/>
    </xf>
    <xf numFmtId="166" fontId="1" fillId="8" borderId="0" xfId="2" applyNumberFormat="1" applyFont="1" applyFill="1" applyBorder="1" applyAlignment="1">
      <alignment horizontal="left" indent="1"/>
    </xf>
    <xf numFmtId="17" fontId="1" fillId="8" borderId="0" xfId="0" applyNumberFormat="1" applyFont="1" applyFill="1" applyBorder="1" applyAlignment="1">
      <alignment horizontal="center"/>
    </xf>
    <xf numFmtId="172" fontId="0" fillId="8" borderId="0" xfId="0" applyNumberFormat="1" applyFont="1" applyFill="1" applyBorder="1"/>
    <xf numFmtId="169" fontId="40" fillId="8" borderId="0" xfId="9" applyNumberFormat="1" applyFont="1" applyFill="1" applyBorder="1" applyAlignment="1">
      <alignment horizontal="left"/>
    </xf>
    <xf numFmtId="0" fontId="26" fillId="8" borderId="0" xfId="12" applyNumberFormat="1" applyFont="1" applyFill="1" applyBorder="1"/>
    <xf numFmtId="0" fontId="29" fillId="8" borderId="0" xfId="12" applyNumberFormat="1" applyFont="1" applyFill="1" applyBorder="1"/>
    <xf numFmtId="168" fontId="28" fillId="8" borderId="0" xfId="12" applyNumberFormat="1" applyFont="1" applyFill="1" applyBorder="1"/>
    <xf numFmtId="0" fontId="28" fillId="8" borderId="0" xfId="12" applyNumberFormat="1" applyFont="1" applyFill="1" applyBorder="1" applyAlignment="1">
      <alignment horizontal="left"/>
    </xf>
    <xf numFmtId="0" fontId="28" fillId="8" borderId="0" xfId="12" applyNumberFormat="1" applyFont="1" applyFill="1" applyBorder="1"/>
    <xf numFmtId="14" fontId="28" fillId="8" borderId="0" xfId="12" applyNumberFormat="1" applyFont="1" applyFill="1" applyBorder="1" applyAlignment="1">
      <alignment horizontal="left"/>
    </xf>
    <xf numFmtId="165" fontId="26" fillId="8" borderId="0" xfId="12" applyNumberFormat="1" applyFont="1" applyFill="1" applyBorder="1" applyAlignment="1">
      <alignment horizontal="center"/>
    </xf>
    <xf numFmtId="0" fontId="28" fillId="8" borderId="0" xfId="12" applyNumberFormat="1" applyFont="1" applyFill="1" applyBorder="1" applyAlignment="1">
      <alignment horizontal="center"/>
    </xf>
    <xf numFmtId="0" fontId="25" fillId="10" borderId="0" xfId="12" applyNumberFormat="1" applyFont="1" applyFill="1" applyBorder="1" applyAlignment="1">
      <alignment horizontal="left"/>
    </xf>
    <xf numFmtId="0" fontId="25" fillId="10" borderId="0" xfId="12" applyNumberFormat="1" applyFont="1" applyFill="1" applyBorder="1" applyAlignment="1">
      <alignment horizontal="centerContinuous"/>
    </xf>
    <xf numFmtId="0" fontId="25" fillId="10" borderId="0" xfId="12" applyNumberFormat="1" applyFont="1" applyFill="1" applyBorder="1" applyAlignment="1">
      <alignment horizontal="center"/>
    </xf>
    <xf numFmtId="168" fontId="25" fillId="10" borderId="0" xfId="12" applyNumberFormat="1" applyFont="1" applyFill="1" applyBorder="1" applyAlignment="1">
      <alignment horizontal="center"/>
    </xf>
    <xf numFmtId="0" fontId="28" fillId="3" borderId="0" xfId="12" applyNumberFormat="1" applyFont="1" applyFill="1" applyBorder="1"/>
    <xf numFmtId="0" fontId="29" fillId="3" borderId="0" xfId="12" applyNumberFormat="1" applyFont="1" applyFill="1" applyBorder="1"/>
    <xf numFmtId="167" fontId="28" fillId="3" borderId="0" xfId="12" applyNumberFormat="1" applyFont="1" applyFill="1" applyBorder="1"/>
    <xf numFmtId="14" fontId="28" fillId="3" borderId="0" xfId="12" applyNumberFormat="1" applyFont="1" applyFill="1" applyBorder="1" applyAlignment="1">
      <alignment horizontal="left"/>
    </xf>
    <xf numFmtId="168" fontId="28" fillId="3" borderId="0" xfId="12" applyNumberFormat="1" applyFont="1" applyFill="1" applyBorder="1"/>
    <xf numFmtId="165" fontId="28" fillId="3" borderId="0" xfId="12" applyNumberFormat="1" applyFont="1" applyFill="1" applyBorder="1"/>
    <xf numFmtId="0" fontId="25" fillId="8" borderId="0" xfId="12" applyNumberFormat="1" applyFont="1" applyFill="1" applyBorder="1" applyAlignment="1">
      <alignment horizontal="left"/>
    </xf>
    <xf numFmtId="0" fontId="25" fillId="8" borderId="0" xfId="12" applyNumberFormat="1" applyFont="1" applyFill="1" applyBorder="1" applyAlignment="1">
      <alignment horizontal="center"/>
    </xf>
    <xf numFmtId="0" fontId="26" fillId="3" borderId="0" xfId="12" applyNumberFormat="1" applyFont="1" applyFill="1" applyBorder="1"/>
    <xf numFmtId="167" fontId="26" fillId="3" borderId="0" xfId="12" applyNumberFormat="1" applyFont="1" applyFill="1" applyBorder="1" applyAlignment="1">
      <alignment horizontal="center"/>
    </xf>
    <xf numFmtId="168" fontId="26" fillId="3" borderId="0" xfId="12" applyNumberFormat="1" applyFont="1" applyFill="1" applyBorder="1" applyAlignment="1">
      <alignment horizontal="center"/>
    </xf>
    <xf numFmtId="165" fontId="26" fillId="3" borderId="0" xfId="12" applyNumberFormat="1" applyFont="1" applyFill="1" applyBorder="1" applyAlignment="1">
      <alignment horizontal="center"/>
    </xf>
    <xf numFmtId="0" fontId="41" fillId="3" borderId="0" xfId="7" applyNumberFormat="1" applyFont="1" applyFill="1" applyBorder="1"/>
    <xf numFmtId="0" fontId="42" fillId="8" borderId="0" xfId="12" applyNumberFormat="1" applyFont="1" applyFill="1" applyBorder="1"/>
    <xf numFmtId="0" fontId="43" fillId="8" borderId="0" xfId="9" applyNumberFormat="1" applyFont="1" applyFill="1" applyBorder="1"/>
    <xf numFmtId="165" fontId="27" fillId="8" borderId="0" xfId="12" applyNumberFormat="1" applyFont="1" applyFill="1" applyBorder="1" applyAlignment="1">
      <alignment horizontal="left"/>
    </xf>
    <xf numFmtId="165" fontId="33" fillId="8" borderId="0" xfId="12" applyNumberFormat="1" applyFont="1" applyFill="1" applyBorder="1" applyAlignment="1">
      <alignment horizontal="center"/>
    </xf>
    <xf numFmtId="165" fontId="26" fillId="8" borderId="0" xfId="12" applyNumberFormat="1" applyFont="1" applyFill="1" applyBorder="1" applyAlignment="1">
      <alignment horizontal="left"/>
    </xf>
    <xf numFmtId="165" fontId="28" fillId="8" borderId="0" xfId="12" applyNumberFormat="1" applyFont="1" applyFill="1" applyBorder="1" applyAlignment="1">
      <alignment horizontal="left" indent="1"/>
    </xf>
    <xf numFmtId="165" fontId="28" fillId="8" borderId="0" xfId="12" applyNumberFormat="1" applyFont="1" applyFill="1" applyBorder="1" applyAlignment="1">
      <alignment horizontal="left" indent="3"/>
    </xf>
    <xf numFmtId="165" fontId="26" fillId="8" borderId="7" xfId="12" applyNumberFormat="1" applyFont="1" applyFill="1" applyBorder="1" applyAlignment="1">
      <alignment horizontal="left"/>
    </xf>
    <xf numFmtId="165" fontId="26" fillId="8" borderId="7" xfId="12" applyNumberFormat="1" applyFont="1" applyFill="1" applyBorder="1" applyAlignment="1">
      <alignment horizontal="left" indent="3"/>
    </xf>
    <xf numFmtId="165" fontId="26" fillId="8" borderId="0" xfId="12" applyNumberFormat="1" applyFont="1" applyFill="1" applyBorder="1" applyAlignment="1">
      <alignment horizontal="left" indent="3"/>
    </xf>
    <xf numFmtId="168" fontId="28" fillId="8" borderId="0" xfId="12" applyNumberFormat="1" applyFont="1" applyFill="1" applyBorder="1" applyAlignment="1">
      <alignment horizontal="left" indent="1"/>
    </xf>
    <xf numFmtId="168" fontId="20" fillId="8" borderId="0" xfId="4" applyNumberFormat="1" applyFont="1" applyFill="1" applyBorder="1"/>
    <xf numFmtId="168" fontId="27" fillId="8" borderId="7" xfId="4" applyNumberFormat="1" applyFont="1" applyFill="1" applyBorder="1"/>
    <xf numFmtId="168" fontId="28" fillId="8" borderId="0" xfId="12" applyNumberFormat="1" applyFont="1" applyFill="1" applyBorder="1" applyAlignment="1">
      <alignment horizontal="left"/>
    </xf>
    <xf numFmtId="167" fontId="26" fillId="8" borderId="0" xfId="12" applyNumberFormat="1" applyFont="1" applyFill="1" applyBorder="1" applyAlignment="1">
      <alignment horizontal="left"/>
    </xf>
    <xf numFmtId="167" fontId="26" fillId="8" borderId="0" xfId="12" applyNumberFormat="1" applyFont="1" applyFill="1" applyBorder="1" applyAlignment="1">
      <alignment horizontal="left" indent="3"/>
    </xf>
    <xf numFmtId="170" fontId="26" fillId="8" borderId="0" xfId="12" applyNumberFormat="1" applyFont="1" applyFill="1" applyBorder="1" applyAlignment="1">
      <alignment horizontal="left"/>
    </xf>
    <xf numFmtId="170" fontId="27" fillId="8" borderId="0" xfId="4" applyNumberFormat="1" applyFont="1" applyFill="1" applyBorder="1"/>
    <xf numFmtId="165" fontId="28" fillId="8" borderId="0" xfId="12" applyNumberFormat="1" applyFont="1" applyFill="1" applyBorder="1" applyAlignment="1">
      <alignment horizontal="left" indent="4"/>
    </xf>
    <xf numFmtId="170" fontId="26" fillId="8" borderId="0" xfId="12" applyNumberFormat="1" applyFont="1" applyFill="1" applyBorder="1" applyAlignment="1">
      <alignment horizontal="left" indent="3"/>
    </xf>
    <xf numFmtId="168" fontId="26" fillId="8" borderId="0" xfId="12" applyNumberFormat="1" applyFont="1" applyFill="1" applyBorder="1" applyAlignment="1">
      <alignment horizontal="left"/>
    </xf>
    <xf numFmtId="168" fontId="27" fillId="8" borderId="0" xfId="4" applyNumberFormat="1" applyFont="1" applyFill="1" applyBorder="1"/>
    <xf numFmtId="181" fontId="26" fillId="8" borderId="0" xfId="12" applyNumberFormat="1" applyFont="1" applyFill="1" applyBorder="1" applyAlignment="1">
      <alignment horizontal="left"/>
    </xf>
    <xf numFmtId="181" fontId="27" fillId="8" borderId="0" xfId="4" applyNumberFormat="1" applyFont="1" applyFill="1" applyBorder="1"/>
    <xf numFmtId="171" fontId="27" fillId="8" borderId="0" xfId="12" applyNumberFormat="1" applyFont="1" applyFill="1" applyBorder="1"/>
    <xf numFmtId="171" fontId="26" fillId="8" borderId="0" xfId="12" applyNumberFormat="1" applyFont="1" applyFill="1" applyBorder="1" applyAlignment="1">
      <alignment horizontal="left" indent="3"/>
    </xf>
    <xf numFmtId="182" fontId="26" fillId="8" borderId="0" xfId="12" applyNumberFormat="1" applyFont="1" applyFill="1" applyBorder="1" applyAlignment="1">
      <alignment horizontal="left"/>
    </xf>
    <xf numFmtId="182" fontId="27" fillId="8" borderId="0" xfId="4" applyNumberFormat="1" applyFont="1" applyFill="1" applyBorder="1"/>
    <xf numFmtId="171" fontId="20" fillId="8" borderId="0" xfId="12" applyNumberFormat="1" applyFont="1" applyFill="1" applyBorder="1"/>
    <xf numFmtId="171" fontId="28" fillId="8" borderId="0" xfId="12" applyNumberFormat="1" applyFont="1" applyFill="1" applyBorder="1" applyAlignment="1">
      <alignment horizontal="left" indent="3"/>
    </xf>
    <xf numFmtId="165" fontId="20" fillId="8" borderId="11" xfId="10" applyNumberFormat="1" applyFont="1" applyFill="1" applyBorder="1"/>
    <xf numFmtId="165" fontId="28" fillId="8" borderId="11" xfId="0" applyNumberFormat="1" applyFont="1" applyFill="1" applyBorder="1"/>
    <xf numFmtId="165" fontId="5" fillId="8" borderId="12" xfId="0" applyNumberFormat="1" applyFont="1" applyFill="1" applyBorder="1"/>
    <xf numFmtId="189" fontId="0" fillId="0" borderId="0" xfId="0" applyNumberFormat="1" applyFont="1" applyFill="1" applyBorder="1"/>
    <xf numFmtId="167" fontId="0" fillId="0" borderId="0" xfId="0" applyNumberFormat="1" applyFont="1" applyFill="1" applyBorder="1"/>
    <xf numFmtId="0" fontId="5" fillId="8" borderId="0" xfId="0" applyNumberFormat="1" applyFont="1" applyFill="1" applyBorder="1"/>
    <xf numFmtId="165" fontId="0" fillId="8" borderId="0" xfId="0" applyNumberFormat="1" applyFont="1" applyFill="1" applyBorder="1" applyAlignment="1">
      <alignment horizontal="left" indent="1"/>
    </xf>
    <xf numFmtId="0" fontId="21" fillId="8" borderId="0" xfId="0" applyNumberFormat="1" applyFont="1" applyFill="1" applyBorder="1"/>
    <xf numFmtId="167" fontId="0" fillId="8" borderId="0" xfId="0" applyNumberFormat="1" applyFont="1" applyFill="1" applyBorder="1" applyAlignment="1">
      <alignment horizontal="left" indent="1"/>
    </xf>
    <xf numFmtId="167" fontId="0" fillId="8" borderId="0" xfId="0" applyNumberFormat="1" applyFont="1" applyFill="1" applyBorder="1"/>
    <xf numFmtId="167" fontId="0" fillId="8" borderId="11" xfId="0" applyNumberFormat="1" applyFont="1" applyFill="1" applyBorder="1" applyAlignment="1">
      <alignment horizontal="left" indent="1"/>
    </xf>
    <xf numFmtId="167" fontId="0" fillId="8" borderId="11" xfId="0" applyNumberFormat="1" applyFont="1" applyFill="1" applyBorder="1"/>
    <xf numFmtId="0" fontId="36" fillId="10" borderId="0" xfId="0" applyNumberFormat="1" applyFont="1" applyFill="1" applyBorder="1"/>
    <xf numFmtId="168" fontId="5" fillId="8" borderId="0" xfId="0" applyNumberFormat="1" applyFont="1" applyFill="1" applyBorder="1"/>
    <xf numFmtId="168" fontId="0" fillId="8" borderId="0" xfId="0" applyNumberFormat="1" applyFont="1" applyFill="1" applyBorder="1"/>
    <xf numFmtId="168" fontId="21" fillId="8" borderId="0" xfId="0" applyNumberFormat="1" applyFont="1" applyFill="1" applyBorder="1"/>
    <xf numFmtId="167" fontId="5" fillId="8" borderId="0" xfId="0" applyNumberFormat="1" applyFont="1" applyFill="1" applyBorder="1"/>
    <xf numFmtId="166" fontId="0" fillId="8" borderId="0" xfId="0" applyNumberFormat="1" applyFont="1" applyFill="1" applyBorder="1"/>
    <xf numFmtId="168" fontId="26" fillId="8" borderId="0" xfId="0" applyNumberFormat="1" applyFont="1" applyFill="1" applyBorder="1"/>
    <xf numFmtId="168" fontId="22" fillId="8" borderId="0" xfId="0" applyNumberFormat="1" applyFont="1" applyFill="1" applyBorder="1"/>
    <xf numFmtId="168" fontId="19" fillId="8" borderId="0" xfId="0" applyNumberFormat="1" applyFont="1" applyFill="1" applyBorder="1" applyAlignment="1">
      <alignment horizontal="left" indent="1"/>
    </xf>
    <xf numFmtId="170" fontId="5" fillId="8" borderId="0" xfId="0" applyNumberFormat="1" applyFont="1" applyFill="1" applyBorder="1"/>
    <xf numFmtId="170" fontId="29" fillId="8" borderId="0" xfId="0" applyNumberFormat="1" applyFont="1" applyFill="1" applyBorder="1"/>
    <xf numFmtId="173" fontId="0" fillId="8" borderId="0" xfId="0" applyNumberFormat="1" applyFont="1" applyFill="1" applyBorder="1"/>
    <xf numFmtId="171" fontId="5" fillId="8" borderId="0" xfId="0" applyNumberFormat="1" applyFont="1" applyFill="1" applyBorder="1"/>
    <xf numFmtId="0" fontId="0" fillId="8" borderId="0" xfId="0" applyNumberFormat="1" applyFont="1" applyFill="1" applyBorder="1"/>
    <xf numFmtId="171" fontId="0" fillId="8" borderId="0" xfId="0" applyNumberFormat="1" applyFont="1" applyFill="1" applyBorder="1"/>
    <xf numFmtId="165" fontId="20" fillId="8" borderId="13" xfId="10" applyNumberFormat="1" applyFont="1" applyFill="1" applyBorder="1" applyAlignment="1">
      <alignment horizontal="left" indent="1"/>
    </xf>
    <xf numFmtId="165" fontId="20" fillId="8" borderId="14" xfId="10" applyNumberFormat="1" applyFont="1" applyFill="1" applyBorder="1" applyAlignment="1">
      <alignment horizontal="left" indent="1"/>
    </xf>
    <xf numFmtId="0" fontId="28" fillId="8" borderId="0" xfId="0" applyNumberFormat="1" applyFont="1" applyFill="1" applyBorder="1"/>
    <xf numFmtId="0" fontId="28" fillId="8" borderId="11" xfId="0" applyNumberFormat="1" applyFont="1" applyFill="1" applyBorder="1"/>
    <xf numFmtId="168" fontId="26" fillId="8" borderId="0" xfId="12" applyNumberFormat="1" applyFont="1" applyFill="1" applyBorder="1"/>
    <xf numFmtId="181" fontId="26" fillId="8" borderId="0" xfId="12" applyNumberFormat="1" applyFont="1" applyFill="1" applyBorder="1"/>
    <xf numFmtId="182" fontId="26" fillId="8" borderId="0" xfId="12" applyNumberFormat="1" applyFont="1" applyFill="1" applyBorder="1"/>
    <xf numFmtId="14" fontId="6" fillId="4" borderId="10" xfId="11" applyNumberFormat="1" applyFont="1" applyFill="1" applyBorder="1" applyAlignment="1">
      <alignment horizontal="center"/>
    </xf>
    <xf numFmtId="0" fontId="6" fillId="4" borderId="10" xfId="11" applyNumberFormat="1" applyFont="1" applyFill="1" applyBorder="1" applyAlignment="1">
      <alignment horizontal="center"/>
    </xf>
    <xf numFmtId="0" fontId="1" fillId="4" borderId="10" xfId="11" applyNumberFormat="1" applyFont="1" applyFill="1" applyBorder="1" applyAlignment="1">
      <alignment horizontal="center"/>
    </xf>
    <xf numFmtId="0" fontId="3" fillId="0" borderId="10" xfId="7" applyNumberFormat="1" applyFont="1" applyFill="1" applyBorder="1"/>
    <xf numFmtId="0" fontId="6" fillId="4" borderId="15" xfId="11" applyNumberFormat="1" applyFont="1" applyFill="1" applyBorder="1" applyAlignment="1">
      <alignment horizontal="center"/>
    </xf>
    <xf numFmtId="14" fontId="6" fillId="4" borderId="16" xfId="11" applyNumberFormat="1" applyFont="1" applyFill="1" applyBorder="1" applyAlignment="1">
      <alignment horizontal="center"/>
    </xf>
    <xf numFmtId="0" fontId="3" fillId="0" borderId="17" xfId="7" applyNumberFormat="1" applyFont="1" applyFill="1" applyBorder="1"/>
    <xf numFmtId="14" fontId="6" fillId="4" borderId="18" xfId="11" applyNumberFormat="1" applyFont="1" applyFill="1" applyBorder="1" applyAlignment="1">
      <alignment horizontal="center"/>
    </xf>
    <xf numFmtId="0" fontId="6" fillId="4" borderId="19" xfId="11" applyNumberFormat="1" applyFont="1" applyFill="1" applyBorder="1" applyAlignment="1">
      <alignment horizontal="center"/>
    </xf>
    <xf numFmtId="0" fontId="1" fillId="4" borderId="19" xfId="11" applyNumberFormat="1" applyFont="1" applyFill="1" applyBorder="1" applyAlignment="1">
      <alignment horizontal="center"/>
    </xf>
    <xf numFmtId="165" fontId="25" fillId="10" borderId="0" xfId="0" applyNumberFormat="1" applyFont="1" applyFill="1" applyBorder="1" applyAlignment="1">
      <alignment horizontal="left"/>
    </xf>
    <xf numFmtId="165" fontId="25" fillId="10" borderId="0" xfId="0" applyNumberFormat="1" applyFont="1" applyFill="1" applyBorder="1" applyAlignment="1">
      <alignment horizontal="left" indent="3"/>
    </xf>
    <xf numFmtId="168" fontId="45" fillId="8" borderId="0" xfId="0" applyNumberFormat="1" applyFont="1" applyFill="1" applyBorder="1" applyAlignment="1">
      <alignment horizontal="left" indent="1"/>
    </xf>
    <xf numFmtId="168" fontId="45" fillId="7" borderId="0" xfId="0" applyNumberFormat="1" applyFont="1" applyFill="1" applyBorder="1"/>
    <xf numFmtId="168" fontId="45" fillId="8" borderId="0" xfId="0" applyNumberFormat="1" applyFont="1" applyFill="1" applyBorder="1"/>
    <xf numFmtId="168" fontId="46" fillId="8" borderId="0" xfId="0" applyNumberFormat="1" applyFont="1" applyFill="1" applyBorder="1"/>
    <xf numFmtId="168" fontId="47" fillId="8" borderId="0" xfId="0" applyNumberFormat="1" applyFont="1" applyFill="1" applyBorder="1"/>
    <xf numFmtId="190" fontId="7" fillId="8" borderId="0" xfId="0" applyNumberFormat="1" applyFont="1" applyFill="1" applyBorder="1"/>
    <xf numFmtId="165" fontId="28" fillId="8" borderId="12" xfId="0" applyNumberFormat="1" applyFont="1" applyFill="1" applyBorder="1"/>
    <xf numFmtId="165" fontId="20" fillId="8" borderId="12" xfId="10" applyNumberFormat="1" applyFont="1" applyFill="1" applyBorder="1"/>
    <xf numFmtId="0" fontId="28" fillId="8" borderId="12" xfId="0" applyNumberFormat="1" applyFont="1" applyFill="1" applyBorder="1"/>
    <xf numFmtId="166" fontId="27" fillId="8" borderId="20" xfId="10" applyNumberFormat="1" applyFont="1" applyFill="1" applyBorder="1" applyAlignment="1">
      <alignment horizontal="left"/>
    </xf>
    <xf numFmtId="166" fontId="20" fillId="8" borderId="13" xfId="10" applyNumberFormat="1" applyFont="1" applyFill="1" applyBorder="1" applyAlignment="1">
      <alignment horizontal="left"/>
    </xf>
    <xf numFmtId="17" fontId="20" fillId="8" borderId="0" xfId="10" applyNumberFormat="1" applyFont="1" applyFill="1" applyBorder="1"/>
    <xf numFmtId="17" fontId="28" fillId="8" borderId="0" xfId="0" applyNumberFormat="1" applyFont="1" applyFill="1" applyBorder="1"/>
    <xf numFmtId="189" fontId="20" fillId="8" borderId="13" xfId="10" applyNumberFormat="1" applyFont="1" applyFill="1" applyBorder="1" applyAlignment="1">
      <alignment horizontal="left" indent="1"/>
    </xf>
    <xf numFmtId="189" fontId="28" fillId="8" borderId="0" xfId="0" applyNumberFormat="1" applyFont="1" applyFill="1" applyBorder="1"/>
    <xf numFmtId="189" fontId="20" fillId="8" borderId="0" xfId="10" applyNumberFormat="1" applyFont="1" applyFill="1" applyBorder="1"/>
    <xf numFmtId="189" fontId="0" fillId="8" borderId="0" xfId="0" applyNumberFormat="1" applyFont="1" applyFill="1" applyBorder="1"/>
    <xf numFmtId="189" fontId="0" fillId="0" borderId="0" xfId="0" applyNumberFormat="1" applyFont="1" applyFill="1" applyBorder="1"/>
    <xf numFmtId="189" fontId="20" fillId="8" borderId="13" xfId="10" applyNumberFormat="1" applyFont="1" applyFill="1" applyBorder="1" applyAlignment="1">
      <alignment horizontal="left" indent="2"/>
    </xf>
    <xf numFmtId="190" fontId="20" fillId="8" borderId="13" xfId="10" applyNumberFormat="1" applyFont="1" applyFill="1" applyBorder="1" applyAlignment="1">
      <alignment horizontal="left" indent="1"/>
    </xf>
    <xf numFmtId="190" fontId="0" fillId="8" borderId="0" xfId="0" applyNumberFormat="1" applyFont="1" applyFill="1" applyBorder="1"/>
    <xf numFmtId="190" fontId="0" fillId="0" borderId="0" xfId="0" applyNumberFormat="1" applyFont="1" applyFill="1" applyBorder="1"/>
    <xf numFmtId="190" fontId="20" fillId="8" borderId="13" xfId="10" applyNumberFormat="1" applyFont="1" applyFill="1" applyBorder="1" applyAlignment="1">
      <alignment horizontal="left" indent="2"/>
    </xf>
    <xf numFmtId="189" fontId="0" fillId="8" borderId="0" xfId="0" applyNumberFormat="1" applyFont="1" applyFill="1" applyBorder="1" applyAlignment="1">
      <alignment horizontal="left" indent="1"/>
    </xf>
    <xf numFmtId="189" fontId="0" fillId="7" borderId="0" xfId="0" applyNumberFormat="1" applyFont="1" applyFill="1" applyBorder="1" applyAlignment="1">
      <alignment horizontal="right"/>
    </xf>
    <xf numFmtId="189" fontId="0" fillId="8" borderId="0" xfId="0" applyNumberFormat="1" applyFont="1" applyFill="1" applyBorder="1" applyAlignment="1">
      <alignment horizontal="right"/>
    </xf>
    <xf numFmtId="189" fontId="21" fillId="8" borderId="0" xfId="0" applyNumberFormat="1" applyFont="1" applyFill="1" applyBorder="1" applyAlignment="1">
      <alignment horizontal="right"/>
    </xf>
    <xf numFmtId="189" fontId="0" fillId="7" borderId="0" xfId="0" applyNumberFormat="1" applyFont="1" applyFill="1" applyBorder="1"/>
    <xf numFmtId="189" fontId="28" fillId="7" borderId="0" xfId="0" applyNumberFormat="1" applyFont="1" applyFill="1" applyBorder="1"/>
    <xf numFmtId="190" fontId="0" fillId="8" borderId="0" xfId="0" applyNumberFormat="1" applyFont="1" applyFill="1" applyBorder="1" applyAlignment="1">
      <alignment horizontal="left" indent="1"/>
    </xf>
    <xf numFmtId="190" fontId="0" fillId="7" borderId="0" xfId="0" applyNumberFormat="1" applyFont="1" applyFill="1" applyBorder="1" applyAlignment="1">
      <alignment horizontal="right"/>
    </xf>
    <xf numFmtId="190" fontId="0" fillId="8" borderId="0" xfId="0" applyNumberFormat="1" applyFont="1" applyFill="1" applyBorder="1" applyAlignment="1">
      <alignment horizontal="right"/>
    </xf>
    <xf numFmtId="190" fontId="21" fillId="8" borderId="0" xfId="0" applyNumberFormat="1" applyFont="1" applyFill="1" applyBorder="1" applyAlignment="1">
      <alignment horizontal="right"/>
    </xf>
    <xf numFmtId="190" fontId="0" fillId="7" borderId="0" xfId="0" applyNumberFormat="1" applyFont="1" applyFill="1" applyBorder="1"/>
    <xf numFmtId="190" fontId="28" fillId="7" borderId="0" xfId="0" applyNumberFormat="1" applyFont="1" applyFill="1" applyBorder="1"/>
    <xf numFmtId="189" fontId="12" fillId="8" borderId="0" xfId="0" applyNumberFormat="1" applyFont="1" applyFill="1" applyBorder="1" applyAlignment="1">
      <alignment horizontal="left"/>
    </xf>
    <xf numFmtId="189" fontId="5" fillId="8" borderId="0" xfId="0" applyNumberFormat="1" applyFont="1" applyFill="1" applyBorder="1"/>
    <xf numFmtId="189" fontId="5" fillId="0" borderId="0" xfId="0" applyNumberFormat="1" applyFont="1" applyFill="1" applyBorder="1"/>
    <xf numFmtId="167" fontId="5" fillId="8" borderId="0" xfId="0" applyNumberFormat="1" applyFont="1" applyFill="1" applyBorder="1" applyAlignment="1">
      <alignment horizontal="left"/>
    </xf>
    <xf numFmtId="167" fontId="26" fillId="8" borderId="0" xfId="0" applyNumberFormat="1" applyFont="1" applyFill="1" applyBorder="1"/>
    <xf numFmtId="167" fontId="26" fillId="7" borderId="0" xfId="0" applyNumberFormat="1" applyFont="1" applyFill="1" applyBorder="1"/>
    <xf numFmtId="167" fontId="28" fillId="8" borderId="0" xfId="0" applyNumberFormat="1" applyFont="1" applyFill="1" applyBorder="1"/>
    <xf numFmtId="167" fontId="28" fillId="7" borderId="0" xfId="0" applyNumberFormat="1" applyFont="1" applyFill="1" applyBorder="1"/>
    <xf numFmtId="167" fontId="7" fillId="8" borderId="0" xfId="0" applyNumberFormat="1" applyFont="1" applyFill="1" applyBorder="1"/>
    <xf numFmtId="0" fontId="1" fillId="4" borderId="19" xfId="11" applyNumberFormat="1" applyFont="1" applyFill="1" applyBorder="1" applyAlignment="1">
      <alignment horizontal="center"/>
    </xf>
    <xf numFmtId="0" fontId="1" fillId="0" borderId="0" xfId="11" applyNumberFormat="1" applyFont="1" applyFill="1" applyBorder="1"/>
    <xf numFmtId="0" fontId="3" fillId="0" borderId="17" xfId="7" applyNumberFormat="1" applyFont="1" applyFill="1" applyBorder="1"/>
    <xf numFmtId="0" fontId="1" fillId="0" borderId="0" xfId="11" applyNumberFormat="1" applyFont="1" applyFill="1" applyBorder="1"/>
    <xf numFmtId="0" fontId="41" fillId="3" borderId="0" xfId="7" applyFont="1" applyFill="1"/>
    <xf numFmtId="0" fontId="3" fillId="0" borderId="17" xfId="7" applyBorder="1"/>
    <xf numFmtId="0" fontId="1" fillId="0" borderId="0" xfId="11" applyNumberFormat="1" applyFont="1" applyFill="1" applyBorder="1"/>
    <xf numFmtId="191" fontId="17" fillId="5" borderId="0" xfId="11" applyNumberFormat="1" applyFont="1" applyFill="1" applyBorder="1" applyAlignment="1">
      <alignment horizontal="center" vertical="center"/>
    </xf>
    <xf numFmtId="167" fontId="28" fillId="8" borderId="0" xfId="0" applyNumberFormat="1" applyFont="1" applyFill="1" applyBorder="1" applyAlignment="1">
      <alignment horizontal="left" indent="3"/>
    </xf>
    <xf numFmtId="0" fontId="1" fillId="0" borderId="0" xfId="11" applyNumberFormat="1" applyFont="1" applyFill="1" applyBorder="1"/>
    <xf numFmtId="167" fontId="20" fillId="8" borderId="0" xfId="2" applyNumberFormat="1" applyFont="1" applyFill="1" applyBorder="1" applyAlignment="1">
      <alignment horizontal="left" indent="1"/>
    </xf>
    <xf numFmtId="0" fontId="3" fillId="0" borderId="21" xfId="7" applyBorder="1"/>
    <xf numFmtId="0" fontId="1" fillId="0" borderId="0" xfId="11" applyNumberFormat="1" applyFont="1" applyFill="1" applyBorder="1"/>
    <xf numFmtId="0" fontId="1" fillId="4" borderId="15" xfId="11" applyFont="1" applyFill="1" applyBorder="1" applyAlignment="1">
      <alignment horizontal="center"/>
    </xf>
    <xf numFmtId="0" fontId="1" fillId="4" borderId="19" xfId="11" applyFont="1" applyFill="1" applyBorder="1" applyAlignment="1">
      <alignment horizontal="center"/>
    </xf>
    <xf numFmtId="0" fontId="3" fillId="0" borderId="22" xfId="7" applyBorder="1"/>
    <xf numFmtId="0" fontId="5" fillId="8" borderId="0" xfId="0" applyNumberFormat="1" applyFont="1" applyFill="1" applyBorder="1" applyAlignment="1">
      <alignment horizontal="center"/>
    </xf>
    <xf numFmtId="167" fontId="28" fillId="8" borderId="2" xfId="0" applyNumberFormat="1" applyFont="1" applyFill="1" applyBorder="1"/>
    <xf numFmtId="168" fontId="26" fillId="8" borderId="2" xfId="0" applyNumberFormat="1" applyFont="1" applyFill="1" applyBorder="1" applyAlignment="1">
      <alignment horizontal="right"/>
    </xf>
    <xf numFmtId="165" fontId="28" fillId="8" borderId="23" xfId="0" applyNumberFormat="1" applyFont="1" applyFill="1" applyBorder="1"/>
    <xf numFmtId="168" fontId="28" fillId="8" borderId="2" xfId="12" applyNumberFormat="1" applyFont="1" applyFill="1" applyBorder="1" applyAlignment="1">
      <alignment horizontal="right"/>
    </xf>
    <xf numFmtId="167" fontId="28" fillId="8" borderId="7" xfId="0" applyNumberFormat="1" applyFont="1" applyFill="1" applyBorder="1" applyAlignment="1">
      <alignment horizontal="left" indent="1"/>
    </xf>
    <xf numFmtId="167" fontId="28" fillId="8" borderId="7" xfId="0" applyNumberFormat="1" applyFont="1" applyFill="1" applyBorder="1"/>
    <xf numFmtId="167" fontId="7" fillId="8" borderId="7" xfId="0" applyNumberFormat="1" applyFont="1" applyFill="1" applyBorder="1"/>
    <xf numFmtId="167" fontId="28" fillId="8" borderId="2" xfId="0" applyNumberFormat="1" applyFont="1" applyFill="1" applyBorder="1" applyAlignment="1">
      <alignment horizontal="left" indent="1"/>
    </xf>
    <xf numFmtId="167" fontId="28" fillId="8" borderId="2" xfId="0" applyNumberFormat="1" applyFont="1" applyFill="1" applyBorder="1" applyAlignment="1">
      <alignment horizontal="left" indent="4"/>
    </xf>
    <xf numFmtId="167" fontId="7" fillId="8" borderId="2" xfId="0" applyNumberFormat="1" applyFont="1" applyFill="1" applyBorder="1"/>
    <xf numFmtId="168" fontId="27" fillId="8" borderId="2" xfId="2" applyNumberFormat="1" applyFont="1" applyFill="1" applyBorder="1"/>
    <xf numFmtId="167" fontId="21" fillId="8" borderId="11" xfId="0" applyNumberFormat="1" applyFont="1" applyFill="1" applyBorder="1"/>
    <xf numFmtId="165" fontId="5" fillId="8" borderId="13" xfId="0" applyNumberFormat="1" applyFont="1" applyFill="1" applyBorder="1"/>
    <xf numFmtId="165" fontId="0" fillId="8" borderId="13" xfId="0" applyNumberFormat="1" applyFont="1" applyFill="1" applyBorder="1"/>
    <xf numFmtId="165" fontId="20" fillId="8" borderId="23" xfId="10" applyNumberFormat="1" applyFont="1" applyFill="1" applyBorder="1" applyAlignment="1">
      <alignment horizontal="left" indent="1"/>
    </xf>
    <xf numFmtId="165" fontId="20" fillId="8" borderId="23" xfId="10" applyNumberFormat="1" applyFont="1" applyFill="1" applyBorder="1"/>
    <xf numFmtId="0" fontId="28" fillId="8" borderId="23" xfId="0" applyNumberFormat="1" applyFont="1" applyFill="1" applyBorder="1"/>
    <xf numFmtId="189" fontId="0" fillId="8" borderId="13" xfId="0" applyNumberFormat="1" applyFont="1" applyFill="1" applyBorder="1"/>
    <xf numFmtId="190" fontId="0" fillId="8" borderId="13" xfId="0" applyNumberFormat="1" applyFont="1" applyFill="1" applyBorder="1"/>
    <xf numFmtId="167" fontId="28" fillId="7" borderId="7" xfId="0" applyNumberFormat="1" applyFont="1" applyFill="1" applyBorder="1"/>
    <xf numFmtId="167" fontId="28" fillId="7" borderId="2" xfId="0" applyNumberFormat="1" applyFont="1" applyFill="1" applyBorder="1"/>
    <xf numFmtId="168" fontId="26" fillId="7" borderId="2" xfId="0" applyNumberFormat="1" applyFont="1" applyFill="1" applyBorder="1" applyAlignment="1">
      <alignment horizontal="right"/>
    </xf>
    <xf numFmtId="165" fontId="20" fillId="8" borderId="2" xfId="10" applyNumberFormat="1" applyFont="1" applyFill="1" applyBorder="1"/>
    <xf numFmtId="0" fontId="28" fillId="8" borderId="2" xfId="0" applyNumberFormat="1" applyFont="1" applyFill="1" applyBorder="1"/>
    <xf numFmtId="165" fontId="20" fillId="8" borderId="5" xfId="10" applyNumberFormat="1" applyFont="1" applyFill="1" applyBorder="1" applyAlignment="1">
      <alignment horizontal="left" indent="1"/>
    </xf>
    <xf numFmtId="165" fontId="20" fillId="8" borderId="3" xfId="10" applyNumberFormat="1" applyFont="1" applyFill="1" applyBorder="1" applyAlignment="1">
      <alignment horizontal="left" indent="1"/>
    </xf>
    <xf numFmtId="165" fontId="27" fillId="8" borderId="24" xfId="10" applyNumberFormat="1" applyFont="1" applyFill="1" applyBorder="1"/>
    <xf numFmtId="175" fontId="20" fillId="8" borderId="25" xfId="10" applyNumberFormat="1" applyFont="1" applyFill="1" applyBorder="1" applyAlignment="1">
      <alignment horizontal="left" indent="1"/>
    </xf>
    <xf numFmtId="176" fontId="20" fillId="8" borderId="25" xfId="10" applyNumberFormat="1" applyFont="1" applyFill="1" applyBorder="1" applyAlignment="1">
      <alignment horizontal="left" indent="1"/>
    </xf>
    <xf numFmtId="177" fontId="20" fillId="8" borderId="25" xfId="10" applyNumberFormat="1" applyFont="1" applyFill="1" applyBorder="1" applyAlignment="1">
      <alignment horizontal="left" indent="1"/>
    </xf>
    <xf numFmtId="165" fontId="27" fillId="8" borderId="8" xfId="10" applyNumberFormat="1" applyFont="1" applyFill="1" applyBorder="1"/>
    <xf numFmtId="165" fontId="28" fillId="8" borderId="2" xfId="12" applyNumberFormat="1" applyFont="1" applyFill="1" applyBorder="1" applyAlignment="1">
      <alignment horizontal="left" indent="1"/>
    </xf>
    <xf numFmtId="165" fontId="28" fillId="8" borderId="2" xfId="12" applyNumberFormat="1" applyFont="1" applyFill="1" applyBorder="1" applyAlignment="1">
      <alignment horizontal="left" indent="3"/>
    </xf>
    <xf numFmtId="168" fontId="28" fillId="8" borderId="2" xfId="12" applyNumberFormat="1" applyFont="1" applyFill="1" applyBorder="1" applyAlignment="1">
      <alignment horizontal="left" indent="1"/>
    </xf>
    <xf numFmtId="168" fontId="20" fillId="8" borderId="2" xfId="4" applyNumberFormat="1" applyFont="1" applyFill="1" applyBorder="1"/>
    <xf numFmtId="168" fontId="28" fillId="7" borderId="2" xfId="12" applyNumberFormat="1" applyFont="1" applyFill="1" applyBorder="1" applyAlignment="1">
      <alignment horizontal="right"/>
    </xf>
    <xf numFmtId="168" fontId="28" fillId="7" borderId="2" xfId="12" applyNumberFormat="1" applyFont="1" applyFill="1" applyBorder="1"/>
    <xf numFmtId="0" fontId="1" fillId="4" borderId="9" xfId="11" applyFont="1" applyFill="1" applyBorder="1" applyAlignment="1">
      <alignment horizontal="center"/>
    </xf>
    <xf numFmtId="0" fontId="8" fillId="11" borderId="9" xfId="11" applyNumberFormat="1" applyFont="1" applyFill="1" applyBorder="1" applyAlignment="1">
      <alignment horizontal="center"/>
    </xf>
    <xf numFmtId="0" fontId="3" fillId="0" borderId="9" xfId="7" applyBorder="1"/>
    <xf numFmtId="165" fontId="1" fillId="8" borderId="0" xfId="2" applyNumberFormat="1" applyFont="1" applyFill="1" applyBorder="1" applyAlignment="1">
      <alignment horizontal="left" indent="1"/>
    </xf>
    <xf numFmtId="14" fontId="11" fillId="3" borderId="0" xfId="11" applyNumberFormat="1" applyFont="1" applyFill="1" applyBorder="1" applyAlignment="1">
      <alignment horizontal="center" vertical="center"/>
    </xf>
    <xf numFmtId="0" fontId="6" fillId="4" borderId="9" xfId="11" applyNumberFormat="1" applyFont="1" applyFill="1" applyBorder="1" applyAlignment="1">
      <alignment horizontal="left"/>
    </xf>
    <xf numFmtId="0" fontId="6" fillId="4" borderId="15" xfId="11" applyNumberFormat="1" applyFont="1" applyFill="1" applyBorder="1" applyAlignment="1">
      <alignment horizontal="left"/>
    </xf>
    <xf numFmtId="0" fontId="6" fillId="4" borderId="19" xfId="11" applyNumberFormat="1" applyFont="1" applyFill="1" applyBorder="1" applyAlignment="1">
      <alignment horizontal="left"/>
    </xf>
    <xf numFmtId="0" fontId="6" fillId="4" borderId="10" xfId="11" applyNumberFormat="1" applyFont="1" applyFill="1" applyBorder="1" applyAlignment="1">
      <alignment horizontal="left"/>
    </xf>
    <xf numFmtId="0" fontId="1" fillId="0" borderId="0" xfId="11" applyNumberFormat="1" applyFont="1" applyFill="1" applyBorder="1"/>
    <xf numFmtId="165" fontId="26" fillId="8" borderId="0" xfId="0" applyNumberFormat="1" applyFont="1" applyFill="1" applyBorder="1" applyAlignment="1">
      <alignment horizontal="left"/>
    </xf>
    <xf numFmtId="165" fontId="26" fillId="8" borderId="0" xfId="0" applyNumberFormat="1" applyFont="1" applyFill="1" applyBorder="1" applyAlignment="1">
      <alignment horizontal="left" indent="3"/>
    </xf>
    <xf numFmtId="165" fontId="2" fillId="8" borderId="6" xfId="10" applyNumberFormat="1" applyFont="1" applyFill="1" applyBorder="1" applyAlignment="1">
      <alignment horizontal="left"/>
    </xf>
    <xf numFmtId="165" fontId="1" fillId="8" borderId="4" xfId="10" applyNumberFormat="1" applyFont="1" applyFill="1" applyBorder="1" applyAlignment="1">
      <alignment horizontal="left" indent="1"/>
    </xf>
    <xf numFmtId="0" fontId="8" fillId="11" borderId="24" xfId="11" applyNumberFormat="1" applyFont="1" applyFill="1" applyBorder="1" applyAlignment="1">
      <alignment horizontal="center"/>
    </xf>
    <xf numFmtId="0" fontId="3" fillId="0" borderId="10" xfId="7" applyBorder="1"/>
    <xf numFmtId="0" fontId="3" fillId="8" borderId="26" xfId="7" applyFill="1" applyBorder="1"/>
    <xf numFmtId="0" fontId="1" fillId="0" borderId="0" xfId="11" applyNumberFormat="1" applyFont="1" applyFill="1" applyBorder="1"/>
    <xf numFmtId="165" fontId="27" fillId="8" borderId="0" xfId="0" applyNumberFormat="1" applyFont="1" applyFill="1" applyBorder="1"/>
    <xf numFmtId="0" fontId="37" fillId="8" borderId="0" xfId="12" applyFont="1" applyFill="1"/>
    <xf numFmtId="0" fontId="28" fillId="3" borderId="0" xfId="12" applyFont="1" applyFill="1"/>
    <xf numFmtId="0" fontId="28" fillId="8" borderId="0" xfId="12" applyFont="1" applyFill="1"/>
    <xf numFmtId="0" fontId="26" fillId="3" borderId="0" xfId="12" applyFont="1" applyFill="1"/>
    <xf numFmtId="0" fontId="29" fillId="3" borderId="0" xfId="12" applyFont="1" applyFill="1"/>
    <xf numFmtId="165" fontId="28" fillId="3" borderId="0" xfId="12" applyNumberFormat="1" applyFont="1" applyFill="1"/>
    <xf numFmtId="165" fontId="26" fillId="3" borderId="0" xfId="12" applyNumberFormat="1" applyFont="1" applyFill="1" applyAlignment="1">
      <alignment horizontal="center"/>
    </xf>
    <xf numFmtId="14" fontId="28" fillId="3" borderId="0" xfId="12" applyNumberFormat="1" applyFont="1" applyFill="1" applyAlignment="1">
      <alignment horizontal="left"/>
    </xf>
    <xf numFmtId="0" fontId="0" fillId="0" borderId="0" xfId="12" applyFont="1"/>
    <xf numFmtId="0" fontId="26" fillId="8" borderId="0" xfId="12" applyFont="1" applyFill="1"/>
    <xf numFmtId="0" fontId="42" fillId="8" borderId="0" xfId="12" applyFont="1" applyFill="1"/>
    <xf numFmtId="167" fontId="28" fillId="8" borderId="0" xfId="0" applyNumberFormat="1" applyFont="1" applyFill="1" applyBorder="1" applyAlignment="1">
      <alignment horizontal="left" indent="1"/>
    </xf>
    <xf numFmtId="167" fontId="28" fillId="8" borderId="2" xfId="0" applyNumberFormat="1" applyFont="1" applyFill="1" applyBorder="1" applyAlignment="1">
      <alignment horizontal="left" indent="3"/>
    </xf>
    <xf numFmtId="167" fontId="26" fillId="8" borderId="7" xfId="0" applyNumberFormat="1" applyFont="1" applyFill="1" applyBorder="1" applyAlignment="1">
      <alignment horizontal="left"/>
    </xf>
    <xf numFmtId="167" fontId="26" fillId="8" borderId="7" xfId="0" applyNumberFormat="1" applyFont="1" applyFill="1" applyBorder="1" applyAlignment="1">
      <alignment horizontal="left" indent="3"/>
    </xf>
    <xf numFmtId="167" fontId="26" fillId="8" borderId="0" xfId="0" applyNumberFormat="1" applyFont="1" applyFill="1" applyBorder="1" applyAlignment="1">
      <alignment horizontal="left"/>
    </xf>
    <xf numFmtId="167" fontId="26" fillId="8" borderId="0" xfId="0" applyNumberFormat="1" applyFont="1" applyFill="1" applyBorder="1" applyAlignment="1">
      <alignment horizontal="left" indent="3"/>
    </xf>
    <xf numFmtId="167" fontId="27" fillId="8" borderId="0" xfId="0" applyNumberFormat="1" applyFont="1" applyFill="1" applyBorder="1"/>
    <xf numFmtId="167" fontId="0" fillId="8" borderId="2" xfId="0" applyNumberFormat="1" applyFont="1" applyFill="1" applyBorder="1" applyAlignment="1">
      <alignment horizontal="left" indent="1"/>
    </xf>
    <xf numFmtId="167" fontId="2" fillId="8" borderId="7" xfId="2" applyNumberFormat="1" applyFont="1" applyFill="1" applyBorder="1"/>
    <xf numFmtId="167" fontId="5" fillId="8" borderId="27" xfId="0" applyNumberFormat="1" applyFont="1" applyFill="1" applyBorder="1" applyAlignment="1">
      <alignment horizontal="left"/>
    </xf>
    <xf numFmtId="167" fontId="5" fillId="7" borderId="27" xfId="0" applyNumberFormat="1" applyFont="1" applyFill="1" applyBorder="1"/>
    <xf numFmtId="167" fontId="5" fillId="8" borderId="27" xfId="0" applyNumberFormat="1" applyFont="1" applyFill="1" applyBorder="1"/>
    <xf numFmtId="167" fontId="26" fillId="8" borderId="27" xfId="0" applyNumberFormat="1" applyFont="1" applyFill="1" applyBorder="1"/>
    <xf numFmtId="167" fontId="26" fillId="7" borderId="27" xfId="0" applyNumberFormat="1" applyFont="1" applyFill="1" applyBorder="1"/>
    <xf numFmtId="167" fontId="0" fillId="8" borderId="27" xfId="0" applyNumberFormat="1" applyFont="1" applyFill="1" applyBorder="1" applyAlignment="1">
      <alignment horizontal="left" indent="1"/>
    </xf>
    <xf numFmtId="167" fontId="0" fillId="8" borderId="27" xfId="0" applyNumberFormat="1" applyFont="1" applyFill="1" applyBorder="1"/>
    <xf numFmtId="167" fontId="30" fillId="8" borderId="0" xfId="0" applyNumberFormat="1" applyFont="1" applyFill="1" applyBorder="1" applyAlignment="1">
      <alignment horizontal="left" indent="1"/>
    </xf>
    <xf numFmtId="167" fontId="29" fillId="8" borderId="0" xfId="0" applyNumberFormat="1" applyFont="1" applyFill="1" applyBorder="1" applyAlignment="1">
      <alignment horizontal="left" indent="3"/>
    </xf>
    <xf numFmtId="167" fontId="29" fillId="7" borderId="0" xfId="0" applyNumberFormat="1" applyFont="1" applyFill="1" applyBorder="1"/>
    <xf numFmtId="167" fontId="29" fillId="8" borderId="0" xfId="0" applyNumberFormat="1" applyFont="1" applyFill="1" applyBorder="1"/>
    <xf numFmtId="167" fontId="30" fillId="8" borderId="0" xfId="0" applyNumberFormat="1" applyFont="1" applyFill="1" applyBorder="1"/>
    <xf numFmtId="167" fontId="29" fillId="7" borderId="0" xfId="0" applyNumberFormat="1" applyFont="1" applyFill="1" applyBorder="1" applyAlignment="1">
      <alignment horizontal="right"/>
    </xf>
    <xf numFmtId="167" fontId="29" fillId="0" borderId="0" xfId="0" applyNumberFormat="1" applyFont="1" applyFill="1" applyBorder="1"/>
    <xf numFmtId="167" fontId="19" fillId="8" borderId="0" xfId="0" applyNumberFormat="1" applyFont="1" applyFill="1" applyBorder="1"/>
    <xf numFmtId="167" fontId="19" fillId="0" borderId="0" xfId="0" applyNumberFormat="1" applyFont="1" applyFill="1" applyBorder="1"/>
    <xf numFmtId="167" fontId="28" fillId="7" borderId="27" xfId="0" applyNumberFormat="1" applyFont="1" applyFill="1" applyBorder="1"/>
    <xf numFmtId="167" fontId="28" fillId="8" borderId="7" xfId="0" applyNumberFormat="1" applyFont="1" applyFill="1" applyBorder="1" applyAlignment="1">
      <alignment horizontal="left" indent="3"/>
    </xf>
    <xf numFmtId="167" fontId="2" fillId="8" borderId="0" xfId="0" applyNumberFormat="1" applyFont="1" applyFill="1" applyBorder="1"/>
    <xf numFmtId="167" fontId="28" fillId="8" borderId="0" xfId="0" applyNumberFormat="1" applyFont="1" applyFill="1" applyBorder="1" applyAlignment="1">
      <alignment horizontal="left"/>
    </xf>
    <xf numFmtId="167" fontId="0" fillId="7" borderId="0" xfId="0" applyNumberFormat="1" applyFont="1" applyFill="1" applyBorder="1" applyAlignment="1">
      <alignment horizontal="right"/>
    </xf>
    <xf numFmtId="167" fontId="0" fillId="8" borderId="0" xfId="0" applyNumberFormat="1" applyFont="1" applyFill="1" applyBorder="1" applyAlignment="1">
      <alignment horizontal="right"/>
    </xf>
    <xf numFmtId="167" fontId="21" fillId="8" borderId="0" xfId="0" applyNumberFormat="1" applyFont="1" applyFill="1" applyBorder="1" applyAlignment="1">
      <alignment horizontal="right"/>
    </xf>
    <xf numFmtId="167" fontId="28" fillId="8" borderId="0" xfId="0" applyNumberFormat="1" applyFont="1" applyFill="1" applyBorder="1" applyAlignment="1">
      <alignment horizontal="right"/>
    </xf>
    <xf numFmtId="167" fontId="28" fillId="7" borderId="0" xfId="0" applyNumberFormat="1" applyFont="1" applyFill="1" applyBorder="1" applyAlignment="1">
      <alignment horizontal="right"/>
    </xf>
    <xf numFmtId="171" fontId="26" fillId="8" borderId="0" xfId="0" applyNumberFormat="1" applyFont="1" applyFill="1" applyBorder="1" applyAlignment="1">
      <alignment horizontal="right"/>
    </xf>
    <xf numFmtId="167" fontId="0" fillId="7" borderId="11" xfId="0" applyNumberFormat="1" applyFont="1" applyFill="1" applyBorder="1"/>
    <xf numFmtId="167" fontId="28" fillId="8" borderId="11" xfId="0" applyNumberFormat="1" applyFont="1" applyFill="1" applyBorder="1"/>
    <xf numFmtId="167" fontId="28" fillId="7" borderId="11" xfId="0" applyNumberFormat="1" applyFont="1" applyFill="1" applyBorder="1"/>
    <xf numFmtId="173" fontId="2" fillId="8" borderId="0" xfId="2" applyNumberFormat="1" applyFont="1" applyFill="1" applyBorder="1"/>
    <xf numFmtId="168" fontId="5" fillId="7" borderId="7" xfId="0" applyNumberFormat="1" applyFont="1" applyFill="1" applyBorder="1"/>
    <xf numFmtId="168" fontId="5" fillId="8" borderId="7" xfId="0" applyNumberFormat="1" applyFont="1" applyFill="1" applyBorder="1"/>
    <xf numFmtId="168" fontId="22" fillId="8" borderId="7" xfId="0" applyNumberFormat="1" applyFont="1" applyFill="1" applyBorder="1"/>
    <xf numFmtId="168" fontId="26" fillId="8" borderId="7" xfId="0" applyNumberFormat="1" applyFont="1" applyFill="1" applyBorder="1"/>
    <xf numFmtId="168" fontId="26" fillId="7" borderId="7" xfId="0" applyNumberFormat="1" applyFont="1" applyFill="1" applyBorder="1"/>
    <xf numFmtId="183" fontId="5" fillId="8" borderId="0" xfId="0" applyNumberFormat="1" applyFont="1" applyFill="1" applyBorder="1"/>
    <xf numFmtId="168" fontId="19" fillId="7" borderId="0" xfId="0" applyNumberFormat="1" applyFont="1" applyFill="1" applyBorder="1"/>
    <xf numFmtId="168" fontId="19" fillId="8" borderId="0" xfId="0" applyNumberFormat="1" applyFont="1" applyFill="1" applyBorder="1"/>
    <xf numFmtId="168" fontId="23" fillId="8" borderId="0" xfId="0" applyNumberFormat="1" applyFont="1" applyFill="1" applyBorder="1"/>
    <xf numFmtId="168" fontId="19" fillId="0" borderId="0" xfId="0" applyNumberFormat="1" applyFont="1" applyFill="1" applyBorder="1"/>
    <xf numFmtId="183" fontId="26" fillId="8" borderId="0" xfId="0" applyNumberFormat="1" applyFont="1" applyFill="1" applyBorder="1" applyAlignment="1">
      <alignment horizontal="left"/>
    </xf>
    <xf numFmtId="183" fontId="26" fillId="8" borderId="0" xfId="0" applyNumberFormat="1" applyFont="1" applyFill="1" applyBorder="1" applyAlignment="1">
      <alignment horizontal="left" indent="4"/>
    </xf>
    <xf numFmtId="167" fontId="28" fillId="8" borderId="0" xfId="0" applyNumberFormat="1" applyFont="1" applyFill="1" applyBorder="1" applyAlignment="1">
      <alignment horizontal="left" indent="4"/>
    </xf>
    <xf numFmtId="171" fontId="26" fillId="7" borderId="0" xfId="12" applyNumberFormat="1" applyFont="1" applyFill="1" applyBorder="1" applyAlignment="1">
      <alignment horizontal="right"/>
    </xf>
    <xf numFmtId="182" fontId="26" fillId="7" borderId="0" xfId="12" applyNumberFormat="1" applyFont="1" applyFill="1" applyBorder="1" applyAlignment="1">
      <alignment horizontal="right"/>
    </xf>
    <xf numFmtId="167" fontId="0" fillId="8" borderId="0" xfId="0" applyNumberFormat="1" applyFont="1" applyFill="1" applyBorder="1" applyAlignment="1">
      <alignment horizontal="left"/>
    </xf>
    <xf numFmtId="0" fontId="1" fillId="0" borderId="0" xfId="11" applyNumberFormat="1" applyFont="1" applyFill="1" applyBorder="1"/>
    <xf numFmtId="167" fontId="25" fillId="10" borderId="0" xfId="12" applyNumberFormat="1" applyFont="1" applyFill="1" applyBorder="1"/>
    <xf numFmtId="167" fontId="25" fillId="10" borderId="0" xfId="0" applyNumberFormat="1" applyFont="1" applyFill="1" applyBorder="1"/>
    <xf numFmtId="190" fontId="20" fillId="8" borderId="0" xfId="10" applyNumberFormat="1" applyFont="1" applyFill="1" applyBorder="1"/>
    <xf numFmtId="190" fontId="28" fillId="8" borderId="0" xfId="0" applyNumberFormat="1" applyFont="1" applyFill="1" applyBorder="1"/>
    <xf numFmtId="0" fontId="3" fillId="8" borderId="28" xfId="7" applyFill="1" applyBorder="1"/>
    <xf numFmtId="179" fontId="5" fillId="8" borderId="0" xfId="0" applyNumberFormat="1" applyFont="1" applyFill="1" applyBorder="1" applyAlignment="1">
      <alignment horizontal="left"/>
    </xf>
    <xf numFmtId="180" fontId="26" fillId="8" borderId="0" xfId="12" applyNumberFormat="1" applyFont="1" applyFill="1" applyBorder="1" applyAlignment="1">
      <alignment horizontal="left" indent="1"/>
    </xf>
    <xf numFmtId="0" fontId="1" fillId="0" borderId="0" xfId="11" applyNumberFormat="1" applyFont="1" applyFill="1" applyBorder="1"/>
    <xf numFmtId="167" fontId="28" fillId="8" borderId="0" xfId="0" applyNumberFormat="1" applyFont="1" applyFill="1" applyAlignment="1">
      <alignment horizontal="left" indent="1"/>
    </xf>
    <xf numFmtId="167" fontId="28" fillId="7" borderId="0" xfId="0" applyNumberFormat="1" applyFont="1" applyFill="1"/>
    <xf numFmtId="167" fontId="0" fillId="8" borderId="0" xfId="0" applyNumberFormat="1" applyFill="1"/>
    <xf numFmtId="167" fontId="0" fillId="7" borderId="0" xfId="0" applyNumberFormat="1" applyFill="1"/>
    <xf numFmtId="167" fontId="0" fillId="0" borderId="0" xfId="0" applyNumberFormat="1"/>
    <xf numFmtId="167" fontId="5" fillId="8" borderId="0" xfId="0" applyNumberFormat="1" applyFont="1" applyFill="1"/>
    <xf numFmtId="167" fontId="5" fillId="0" borderId="0" xfId="0" applyNumberFormat="1" applyFont="1"/>
    <xf numFmtId="167" fontId="25" fillId="10" borderId="0" xfId="0" applyNumberFormat="1" applyFont="1" applyFill="1" applyBorder="1" applyAlignment="1">
      <alignment horizontal="right"/>
    </xf>
    <xf numFmtId="167" fontId="5" fillId="7" borderId="0" xfId="0" applyNumberFormat="1" applyFont="1" applyFill="1" applyBorder="1" applyAlignment="1">
      <alignment horizontal="right"/>
    </xf>
    <xf numFmtId="167" fontId="5" fillId="8" borderId="0" xfId="0" applyNumberFormat="1" applyFont="1" applyFill="1" applyBorder="1" applyAlignment="1">
      <alignment horizontal="right"/>
    </xf>
    <xf numFmtId="167" fontId="22" fillId="8" borderId="0" xfId="0" applyNumberFormat="1" applyFont="1" applyFill="1" applyBorder="1" applyAlignment="1">
      <alignment horizontal="right"/>
    </xf>
    <xf numFmtId="165" fontId="19" fillId="8" borderId="0" xfId="0" applyNumberFormat="1" applyFont="1" applyFill="1" applyBorder="1" applyAlignment="1">
      <alignment horizontal="left"/>
    </xf>
    <xf numFmtId="168" fontId="19" fillId="7" borderId="0" xfId="0" applyNumberFormat="1" applyFont="1" applyFill="1" applyBorder="1" applyAlignment="1">
      <alignment horizontal="right"/>
    </xf>
    <xf numFmtId="168" fontId="19" fillId="8" borderId="0" xfId="0" applyNumberFormat="1" applyFont="1" applyFill="1" applyBorder="1" applyAlignment="1">
      <alignment horizontal="right"/>
    </xf>
    <xf numFmtId="168" fontId="23" fillId="8" borderId="0" xfId="0" applyNumberFormat="1" applyFont="1" applyFill="1" applyBorder="1" applyAlignment="1">
      <alignment horizontal="right"/>
    </xf>
    <xf numFmtId="168" fontId="50" fillId="8" borderId="0" xfId="0" applyNumberFormat="1" applyFont="1" applyFill="1" applyBorder="1" applyAlignment="1">
      <alignment horizontal="right"/>
    </xf>
    <xf numFmtId="167" fontId="26" fillId="8" borderId="0" xfId="0" applyNumberFormat="1" applyFont="1" applyFill="1" applyBorder="1" applyAlignment="1">
      <alignment horizontal="right"/>
    </xf>
    <xf numFmtId="167" fontId="26" fillId="7" borderId="0" xfId="0" applyNumberFormat="1" applyFont="1" applyFill="1" applyBorder="1" applyAlignment="1">
      <alignment horizontal="right"/>
    </xf>
    <xf numFmtId="167" fontId="26" fillId="8" borderId="12" xfId="0" applyNumberFormat="1" applyFont="1" applyFill="1" applyBorder="1" applyAlignment="1">
      <alignment horizontal="right"/>
    </xf>
    <xf numFmtId="167" fontId="26" fillId="7" borderId="12" xfId="0" applyNumberFormat="1" applyFont="1" applyFill="1" applyBorder="1" applyAlignment="1">
      <alignment horizontal="right"/>
    </xf>
    <xf numFmtId="167" fontId="28" fillId="8" borderId="0" xfId="0" applyNumberFormat="1" applyFont="1" applyFill="1" applyAlignment="1">
      <alignment horizontal="left" indent="3"/>
    </xf>
    <xf numFmtId="170" fontId="16" fillId="12" borderId="0" xfId="2" applyNumberFormat="1" applyFont="1" applyFill="1" applyBorder="1" applyAlignment="1">
      <alignment horizontal="center" vertical="center"/>
    </xf>
    <xf numFmtId="170" fontId="5" fillId="8" borderId="0" xfId="0" applyNumberFormat="1" applyFont="1" applyFill="1" applyBorder="1" applyAlignment="1">
      <alignment horizontal="right"/>
    </xf>
    <xf numFmtId="170" fontId="22" fillId="8" borderId="0" xfId="0" applyNumberFormat="1" applyFont="1" applyFill="1" applyBorder="1" applyAlignment="1">
      <alignment horizontal="right"/>
    </xf>
    <xf numFmtId="170" fontId="5" fillId="7" borderId="0" xfId="0" applyNumberFormat="1" applyFont="1" applyFill="1" applyBorder="1" applyAlignment="1">
      <alignment horizontal="right"/>
    </xf>
    <xf numFmtId="192" fontId="20" fillId="8" borderId="10" xfId="10" applyNumberFormat="1" applyFont="1" applyFill="1" applyBorder="1" applyAlignment="1">
      <alignment horizontal="left" indent="1"/>
    </xf>
    <xf numFmtId="168" fontId="26" fillId="3" borderId="0" xfId="12" applyNumberFormat="1" applyFont="1" applyFill="1" applyAlignment="1">
      <alignment horizontal="center"/>
    </xf>
    <xf numFmtId="0" fontId="1" fillId="0" borderId="0" xfId="11" applyNumberFormat="1" applyFont="1" applyFill="1" applyBorder="1"/>
    <xf numFmtId="167" fontId="28" fillId="8" borderId="0" xfId="0" applyNumberFormat="1" applyFont="1" applyFill="1" applyBorder="1" applyAlignment="1">
      <alignment horizontal="left" indent="2"/>
    </xf>
    <xf numFmtId="167" fontId="28" fillId="8" borderId="2" xfId="0" applyNumberFormat="1" applyFont="1" applyFill="1" applyBorder="1" applyAlignment="1">
      <alignment horizontal="left" indent="2"/>
    </xf>
    <xf numFmtId="168" fontId="50" fillId="8" borderId="0" xfId="0" applyNumberFormat="1" applyFont="1" applyFill="1" applyBorder="1"/>
    <xf numFmtId="165" fontId="19" fillId="8" borderId="0" xfId="0" applyNumberFormat="1" applyFont="1" applyFill="1" applyBorder="1"/>
    <xf numFmtId="165" fontId="27" fillId="8" borderId="7" xfId="2" applyNumberFormat="1" applyFont="1" applyFill="1" applyBorder="1" applyAlignment="1">
      <alignment horizontal="left"/>
    </xf>
    <xf numFmtId="165" fontId="26" fillId="8" borderId="7" xfId="0" applyNumberFormat="1" applyFont="1" applyFill="1" applyBorder="1" applyAlignment="1">
      <alignment horizontal="left" indent="3"/>
    </xf>
    <xf numFmtId="178" fontId="1" fillId="8" borderId="0" xfId="0" applyNumberFormat="1" applyFont="1" applyFill="1" applyBorder="1" applyAlignment="1">
      <alignment horizontal="left"/>
    </xf>
    <xf numFmtId="187" fontId="2" fillId="8" borderId="0" xfId="0" applyNumberFormat="1" applyFont="1" applyFill="1" applyBorder="1" applyAlignment="1">
      <alignment horizontal="left"/>
    </xf>
    <xf numFmtId="170" fontId="4" fillId="8" borderId="0" xfId="4" applyNumberFormat="1" applyFont="1" applyFill="1" applyBorder="1" applyAlignment="1">
      <alignment horizontal="center"/>
    </xf>
    <xf numFmtId="165" fontId="5" fillId="8" borderId="0" xfId="0" applyNumberFormat="1" applyFont="1" applyFill="1" applyBorder="1" applyAlignment="1">
      <alignment horizontal="center"/>
    </xf>
    <xf numFmtId="188" fontId="2" fillId="8" borderId="0" xfId="0" applyNumberFormat="1" applyFont="1" applyFill="1" applyBorder="1"/>
    <xf numFmtId="167" fontId="28" fillId="8" borderId="27" xfId="0" applyNumberFormat="1" applyFont="1" applyFill="1" applyBorder="1"/>
    <xf numFmtId="173" fontId="28" fillId="8" borderId="0" xfId="0" applyNumberFormat="1" applyFont="1" applyFill="1" applyBorder="1"/>
    <xf numFmtId="171" fontId="28" fillId="8" borderId="0" xfId="0" applyNumberFormat="1" applyFont="1" applyFill="1" applyBorder="1" applyAlignment="1">
      <alignment horizontal="right"/>
    </xf>
    <xf numFmtId="169" fontId="20" fillId="8" borderId="0" xfId="0" applyNumberFormat="1" applyFont="1" applyFill="1" applyBorder="1" applyAlignment="1">
      <alignment horizontal="center"/>
    </xf>
    <xf numFmtId="0" fontId="28" fillId="8" borderId="0" xfId="0" applyFont="1" applyFill="1" applyBorder="1"/>
    <xf numFmtId="0" fontId="27" fillId="8" borderId="0" xfId="4" applyNumberFormat="1" applyFont="1" applyFill="1" applyBorder="1" applyAlignment="1">
      <alignment horizontal="center"/>
    </xf>
    <xf numFmtId="168" fontId="26" fillId="8" borderId="0" xfId="0" applyNumberFormat="1" applyFont="1" applyFill="1" applyBorder="1" applyAlignment="1">
      <alignment horizontal="left"/>
    </xf>
    <xf numFmtId="167" fontId="26" fillId="8" borderId="7" xfId="0" applyNumberFormat="1" applyFont="1" applyFill="1" applyBorder="1" applyAlignment="1">
      <alignment horizontal="left" indent="4"/>
    </xf>
    <xf numFmtId="167" fontId="26" fillId="8" borderId="0" xfId="0" applyNumberFormat="1" applyFont="1" applyFill="1" applyBorder="1" applyAlignment="1">
      <alignment horizontal="left" indent="4"/>
    </xf>
    <xf numFmtId="165" fontId="26" fillId="8" borderId="0" xfId="0" applyNumberFormat="1" applyFont="1" applyFill="1" applyBorder="1" applyAlignment="1">
      <alignment horizontal="left" indent="4"/>
    </xf>
    <xf numFmtId="168" fontId="28" fillId="8" borderId="0" xfId="0" applyNumberFormat="1" applyFont="1" applyFill="1" applyBorder="1" applyAlignment="1">
      <alignment horizontal="left" indent="4"/>
    </xf>
    <xf numFmtId="168" fontId="26" fillId="8" borderId="7" xfId="0" applyNumberFormat="1" applyFont="1" applyFill="1" applyBorder="1" applyAlignment="1">
      <alignment horizontal="left" indent="4"/>
    </xf>
    <xf numFmtId="168" fontId="29" fillId="8" borderId="0" xfId="0" applyNumberFormat="1" applyFont="1" applyFill="1" applyBorder="1" applyAlignment="1">
      <alignment horizontal="left" indent="4"/>
    </xf>
    <xf numFmtId="168" fontId="26" fillId="8" borderId="0" xfId="0" applyNumberFormat="1" applyFont="1" applyFill="1" applyBorder="1" applyAlignment="1">
      <alignment horizontal="left" indent="4"/>
    </xf>
    <xf numFmtId="165" fontId="27" fillId="8" borderId="0" xfId="2" applyNumberFormat="1" applyFont="1" applyFill="1" applyBorder="1"/>
    <xf numFmtId="165" fontId="28" fillId="8" borderId="2" xfId="0" applyNumberFormat="1" applyFont="1" applyFill="1" applyBorder="1" applyAlignment="1">
      <alignment horizontal="left" indent="3"/>
    </xf>
    <xf numFmtId="167" fontId="27" fillId="8" borderId="0" xfId="2" applyNumberFormat="1" applyFont="1" applyFill="1" applyBorder="1"/>
    <xf numFmtId="166" fontId="28" fillId="8" borderId="0" xfId="0" applyNumberFormat="1" applyFont="1" applyFill="1" applyBorder="1" applyAlignment="1">
      <alignment horizontal="left" indent="3"/>
    </xf>
    <xf numFmtId="166" fontId="28" fillId="8" borderId="0" xfId="0" applyNumberFormat="1" applyFont="1" applyFill="1" applyBorder="1"/>
    <xf numFmtId="167" fontId="27" fillId="8" borderId="0" xfId="1" applyNumberFormat="1" applyFont="1" applyFill="1" applyBorder="1" applyAlignment="1">
      <alignment horizontal="left"/>
    </xf>
    <xf numFmtId="165" fontId="20" fillId="8" borderId="0" xfId="2" applyNumberFormat="1" applyFont="1" applyFill="1" applyBorder="1"/>
    <xf numFmtId="170" fontId="28" fillId="8" borderId="0" xfId="0" applyNumberFormat="1" applyFont="1" applyFill="1" applyBorder="1" applyAlignment="1">
      <alignment horizontal="left" indent="3"/>
    </xf>
    <xf numFmtId="170" fontId="28" fillId="8" borderId="0" xfId="0" applyNumberFormat="1" applyFont="1" applyFill="1" applyBorder="1"/>
    <xf numFmtId="165" fontId="28" fillId="8" borderId="7" xfId="0" applyNumberFormat="1" applyFont="1" applyFill="1" applyBorder="1" applyAlignment="1">
      <alignment horizontal="left" indent="3"/>
    </xf>
    <xf numFmtId="167" fontId="20" fillId="8" borderId="0" xfId="2" applyNumberFormat="1" applyFont="1" applyFill="1" applyBorder="1"/>
    <xf numFmtId="170" fontId="26" fillId="8" borderId="7" xfId="0" applyNumberFormat="1" applyFont="1" applyFill="1" applyBorder="1" applyAlignment="1">
      <alignment horizontal="left" indent="3"/>
    </xf>
    <xf numFmtId="170" fontId="26" fillId="8" borderId="7" xfId="0" applyNumberFormat="1" applyFont="1" applyFill="1" applyBorder="1"/>
    <xf numFmtId="170" fontId="27" fillId="8" borderId="0" xfId="2" applyNumberFormat="1" applyFont="1" applyFill="1" applyBorder="1"/>
    <xf numFmtId="170" fontId="26" fillId="8" borderId="0" xfId="0" applyNumberFormat="1" applyFont="1" applyFill="1" applyBorder="1" applyAlignment="1">
      <alignment horizontal="left" indent="3"/>
    </xf>
    <xf numFmtId="168" fontId="30" fillId="8" borderId="0" xfId="2" applyNumberFormat="1" applyFont="1" applyFill="1" applyBorder="1" applyAlignment="1">
      <alignment horizontal="left" indent="1"/>
    </xf>
    <xf numFmtId="168" fontId="28" fillId="8" borderId="0" xfId="0" applyNumberFormat="1" applyFont="1" applyFill="1" applyBorder="1" applyAlignment="1">
      <alignment horizontal="center"/>
    </xf>
    <xf numFmtId="167" fontId="26" fillId="8" borderId="27" xfId="0" applyNumberFormat="1" applyFont="1" applyFill="1" applyBorder="1" applyAlignment="1">
      <alignment horizontal="left" indent="3"/>
    </xf>
    <xf numFmtId="167" fontId="28" fillId="8" borderId="27" xfId="0" applyNumberFormat="1" applyFont="1" applyFill="1" applyBorder="1" applyAlignment="1">
      <alignment horizontal="left" indent="3"/>
    </xf>
    <xf numFmtId="165" fontId="28" fillId="8" borderId="7" xfId="0" applyNumberFormat="1" applyFont="1" applyFill="1" applyBorder="1" applyAlignment="1">
      <alignment horizontal="left" indent="1"/>
    </xf>
    <xf numFmtId="165" fontId="30" fillId="8" borderId="7" xfId="0" applyNumberFormat="1" applyFont="1" applyFill="1" applyBorder="1" applyAlignment="1">
      <alignment horizontal="left" indent="1"/>
    </xf>
    <xf numFmtId="165" fontId="29" fillId="8" borderId="7" xfId="0" applyNumberFormat="1" applyFont="1" applyFill="1" applyBorder="1" applyAlignment="1">
      <alignment horizontal="left" indent="3"/>
    </xf>
    <xf numFmtId="168" fontId="26" fillId="8" borderId="0" xfId="0" applyNumberFormat="1" applyFont="1" applyFill="1" applyBorder="1" applyAlignment="1">
      <alignment horizontal="left" indent="3"/>
    </xf>
    <xf numFmtId="173" fontId="28" fillId="8" borderId="0" xfId="0" applyNumberFormat="1" applyFont="1" applyFill="1" applyBorder="1" applyAlignment="1">
      <alignment horizontal="left" indent="3"/>
    </xf>
    <xf numFmtId="173" fontId="20" fillId="8" borderId="0" xfId="2" applyNumberFormat="1" applyFont="1" applyFill="1" applyBorder="1"/>
    <xf numFmtId="173" fontId="26" fillId="8" borderId="0" xfId="0" applyNumberFormat="1" applyFont="1" applyFill="1" applyBorder="1" applyAlignment="1">
      <alignment horizontal="left" indent="3"/>
    </xf>
    <xf numFmtId="165" fontId="30" fillId="8" borderId="0" xfId="0" applyNumberFormat="1" applyFont="1" applyFill="1" applyBorder="1" applyAlignment="1">
      <alignment horizontal="left" indent="1"/>
    </xf>
    <xf numFmtId="165" fontId="29" fillId="8" borderId="0" xfId="0" applyNumberFormat="1" applyFont="1" applyFill="1" applyBorder="1" applyAlignment="1">
      <alignment horizontal="left" indent="3"/>
    </xf>
    <xf numFmtId="167" fontId="28" fillId="8" borderId="11" xfId="0" applyNumberFormat="1" applyFont="1" applyFill="1" applyBorder="1" applyAlignment="1">
      <alignment horizontal="left" indent="3"/>
    </xf>
    <xf numFmtId="171" fontId="26" fillId="8" borderId="0" xfId="0" applyNumberFormat="1" applyFont="1" applyFill="1" applyBorder="1" applyAlignment="1">
      <alignment horizontal="left" indent="3"/>
    </xf>
    <xf numFmtId="171" fontId="26" fillId="8" borderId="0" xfId="0" applyNumberFormat="1" applyFont="1" applyFill="1" applyBorder="1"/>
    <xf numFmtId="0" fontId="28" fillId="8" borderId="0" xfId="0" applyNumberFormat="1" applyFont="1" applyFill="1" applyBorder="1" applyAlignment="1">
      <alignment horizontal="left" indent="3"/>
    </xf>
    <xf numFmtId="171" fontId="20" fillId="8" borderId="0" xfId="0" applyNumberFormat="1" applyFont="1" applyFill="1" applyBorder="1"/>
    <xf numFmtId="171" fontId="28" fillId="8" borderId="0" xfId="0" applyNumberFormat="1" applyFont="1" applyFill="1" applyBorder="1" applyAlignment="1">
      <alignment horizontal="left" indent="3"/>
    </xf>
    <xf numFmtId="171" fontId="28" fillId="8" borderId="0" xfId="0" applyNumberFormat="1" applyFont="1" applyFill="1" applyBorder="1"/>
    <xf numFmtId="168" fontId="28" fillId="8" borderId="0" xfId="0" applyNumberFormat="1" applyFont="1" applyFill="1" applyBorder="1" applyAlignment="1">
      <alignment horizontal="left"/>
    </xf>
    <xf numFmtId="189" fontId="20" fillId="8" borderId="0" xfId="2" applyNumberFormat="1" applyFont="1" applyFill="1" applyBorder="1"/>
    <xf numFmtId="190" fontId="20" fillId="8" borderId="0" xfId="2" applyNumberFormat="1" applyFont="1" applyFill="1" applyBorder="1"/>
    <xf numFmtId="165" fontId="28" fillId="8" borderId="0" xfId="0" applyNumberFormat="1" applyFont="1" applyFill="1" applyBorder="1" applyAlignment="1">
      <alignment horizontal="left" indent="2"/>
    </xf>
    <xf numFmtId="168" fontId="32" fillId="8" borderId="0" xfId="0" applyNumberFormat="1" applyFont="1" applyFill="1" applyBorder="1" applyAlignment="1">
      <alignment horizontal="left" indent="3"/>
    </xf>
    <xf numFmtId="168" fontId="32" fillId="8" borderId="0" xfId="0" applyNumberFormat="1" applyFont="1" applyFill="1" applyBorder="1"/>
    <xf numFmtId="165" fontId="26" fillId="8" borderId="12" xfId="0" applyNumberFormat="1" applyFont="1" applyFill="1" applyBorder="1" applyAlignment="1">
      <alignment horizontal="left" indent="3"/>
    </xf>
    <xf numFmtId="165" fontId="28" fillId="8" borderId="0" xfId="0" applyNumberFormat="1" applyFont="1" applyFill="1" applyBorder="1" applyAlignment="1">
      <alignment horizontal="right"/>
    </xf>
    <xf numFmtId="165" fontId="20" fillId="8" borderId="11" xfId="10" applyNumberFormat="1" applyFont="1" applyFill="1" applyBorder="1" applyAlignment="1">
      <alignment horizontal="left" indent="1"/>
    </xf>
    <xf numFmtId="167" fontId="26" fillId="8" borderId="13" xfId="0" applyNumberFormat="1" applyFont="1" applyFill="1" applyBorder="1"/>
    <xf numFmtId="167" fontId="27" fillId="8" borderId="0" xfId="10" applyNumberFormat="1" applyFont="1" applyFill="1" applyBorder="1"/>
    <xf numFmtId="167" fontId="28" fillId="8" borderId="13" xfId="0" applyNumberFormat="1" applyFont="1" applyFill="1" applyBorder="1"/>
    <xf numFmtId="167" fontId="20" fillId="8" borderId="0" xfId="10" applyNumberFormat="1" applyFont="1" applyFill="1" applyBorder="1"/>
    <xf numFmtId="0" fontId="26" fillId="8" borderId="0" xfId="0" applyNumberFormat="1" applyFont="1" applyFill="1" applyBorder="1"/>
    <xf numFmtId="165" fontId="20" fillId="8" borderId="12" xfId="10" applyNumberFormat="1" applyFont="1" applyFill="1" applyBorder="1" applyAlignment="1">
      <alignment horizontal="left" indent="1"/>
    </xf>
    <xf numFmtId="167" fontId="28" fillId="8" borderId="12" xfId="0" applyNumberFormat="1" applyFont="1" applyFill="1" applyBorder="1"/>
    <xf numFmtId="165" fontId="20" fillId="8" borderId="1" xfId="10" applyNumberFormat="1" applyFont="1" applyFill="1" applyBorder="1" applyAlignment="1">
      <alignment horizontal="left" indent="1"/>
    </xf>
    <xf numFmtId="167" fontId="20" fillId="8" borderId="11" xfId="10" applyNumberFormat="1" applyFont="1" applyFill="1" applyBorder="1"/>
    <xf numFmtId="1" fontId="5" fillId="7" borderId="0" xfId="0" applyNumberFormat="1" applyFont="1" applyFill="1" applyBorder="1" applyAlignment="1">
      <alignment horizontal="center"/>
    </xf>
    <xf numFmtId="17" fontId="0" fillId="7" borderId="0" xfId="0" applyNumberFormat="1" applyFont="1" applyFill="1" applyBorder="1" applyAlignment="1">
      <alignment horizontal="center"/>
    </xf>
    <xf numFmtId="0" fontId="5" fillId="7" borderId="0" xfId="0" applyNumberFormat="1" applyFont="1" applyFill="1" applyBorder="1" applyAlignment="1">
      <alignment horizontal="center"/>
    </xf>
    <xf numFmtId="166" fontId="28" fillId="7" borderId="0" xfId="0" applyNumberFormat="1" applyFont="1" applyFill="1" applyBorder="1"/>
    <xf numFmtId="170" fontId="28" fillId="7" borderId="0" xfId="0" applyNumberFormat="1" applyFont="1" applyFill="1" applyBorder="1"/>
    <xf numFmtId="170" fontId="26" fillId="7" borderId="7" xfId="0" applyNumberFormat="1" applyFont="1" applyFill="1" applyBorder="1"/>
    <xf numFmtId="168" fontId="28" fillId="7" borderId="0" xfId="0" applyNumberFormat="1" applyFont="1" applyFill="1" applyBorder="1" applyAlignment="1">
      <alignment horizontal="center"/>
    </xf>
    <xf numFmtId="0" fontId="28" fillId="7" borderId="0" xfId="0" applyNumberFormat="1" applyFont="1" applyFill="1" applyBorder="1"/>
    <xf numFmtId="170" fontId="26" fillId="7" borderId="0" xfId="0" applyNumberFormat="1" applyFont="1" applyFill="1" applyBorder="1" applyAlignment="1">
      <alignment horizontal="right"/>
    </xf>
    <xf numFmtId="168" fontId="32" fillId="7" borderId="0" xfId="0" applyNumberFormat="1" applyFont="1" applyFill="1" applyBorder="1"/>
    <xf numFmtId="17" fontId="1" fillId="7" borderId="0" xfId="0" applyNumberFormat="1" applyFont="1" applyFill="1" applyBorder="1" applyAlignment="1">
      <alignment horizontal="center"/>
    </xf>
    <xf numFmtId="0" fontId="2" fillId="7" borderId="0" xfId="0" applyNumberFormat="1" applyFont="1" applyFill="1" applyBorder="1" applyAlignment="1">
      <alignment horizontal="center"/>
    </xf>
    <xf numFmtId="17" fontId="6" fillId="7" borderId="0" xfId="0" applyNumberFormat="1" applyFont="1" applyFill="1" applyBorder="1" applyAlignment="1">
      <alignment horizontal="center"/>
    </xf>
    <xf numFmtId="0" fontId="4" fillId="7" borderId="0" xfId="0" applyNumberFormat="1" applyFont="1" applyFill="1" applyBorder="1" applyAlignment="1">
      <alignment horizontal="center"/>
    </xf>
    <xf numFmtId="1" fontId="26" fillId="7" borderId="0" xfId="0" applyNumberFormat="1" applyFont="1" applyFill="1" applyBorder="1" applyAlignment="1">
      <alignment horizontal="center"/>
    </xf>
    <xf numFmtId="17" fontId="20" fillId="7" borderId="0" xfId="0" applyNumberFormat="1" applyFont="1" applyFill="1" applyBorder="1" applyAlignment="1">
      <alignment horizontal="center"/>
    </xf>
    <xf numFmtId="0" fontId="27" fillId="7" borderId="0" xfId="0" applyNumberFormat="1" applyFont="1" applyFill="1" applyBorder="1" applyAlignment="1">
      <alignment horizontal="center"/>
    </xf>
    <xf numFmtId="17" fontId="32" fillId="7" borderId="0" xfId="12" applyNumberFormat="1" applyFont="1" applyFill="1" applyBorder="1" applyAlignment="1">
      <alignment horizontal="center"/>
    </xf>
    <xf numFmtId="165" fontId="26" fillId="7" borderId="0" xfId="12" applyNumberFormat="1" applyFont="1" applyFill="1" applyBorder="1" applyAlignment="1">
      <alignment horizontal="center"/>
    </xf>
    <xf numFmtId="17" fontId="33" fillId="7" borderId="0" xfId="12" applyNumberFormat="1" applyFont="1" applyFill="1" applyBorder="1" applyAlignment="1">
      <alignment horizontal="center"/>
    </xf>
    <xf numFmtId="165" fontId="27" fillId="7" borderId="0" xfId="12" applyNumberFormat="1" applyFont="1" applyFill="1" applyBorder="1" applyAlignment="1">
      <alignment horizontal="center"/>
    </xf>
    <xf numFmtId="0" fontId="26" fillId="8" borderId="6" xfId="0" applyNumberFormat="1" applyFont="1" applyFill="1" applyBorder="1"/>
    <xf numFmtId="167" fontId="20" fillId="8" borderId="4" xfId="10" applyNumberFormat="1" applyFont="1" applyFill="1" applyBorder="1"/>
    <xf numFmtId="167" fontId="20" fillId="8" borderId="1" xfId="10" applyNumberFormat="1" applyFont="1" applyFill="1" applyBorder="1"/>
    <xf numFmtId="0" fontId="28" fillId="8" borderId="29" xfId="0" applyNumberFormat="1" applyFont="1" applyFill="1" applyBorder="1"/>
    <xf numFmtId="168" fontId="25" fillId="10" borderId="29" xfId="0" applyNumberFormat="1" applyFont="1" applyFill="1" applyBorder="1"/>
    <xf numFmtId="168" fontId="26" fillId="8" borderId="29" xfId="0" applyNumberFormat="1" applyFont="1" applyFill="1" applyBorder="1" applyAlignment="1">
      <alignment horizontal="right"/>
    </xf>
    <xf numFmtId="167" fontId="28" fillId="8" borderId="30" xfId="0" applyNumberFormat="1" applyFont="1" applyFill="1" applyBorder="1"/>
    <xf numFmtId="167" fontId="5" fillId="8" borderId="31" xfId="0" applyNumberFormat="1" applyFont="1" applyFill="1" applyBorder="1"/>
    <xf numFmtId="167" fontId="26" fillId="8" borderId="29" xfId="0" applyNumberFormat="1" applyFont="1" applyFill="1" applyBorder="1"/>
    <xf numFmtId="167" fontId="28" fillId="8" borderId="29" xfId="0" applyNumberFormat="1" applyFont="1" applyFill="1" applyBorder="1"/>
    <xf numFmtId="168" fontId="28" fillId="8" borderId="29" xfId="0" applyNumberFormat="1" applyFont="1" applyFill="1" applyBorder="1"/>
    <xf numFmtId="168" fontId="26" fillId="8" borderId="29" xfId="0" applyNumberFormat="1" applyFont="1" applyFill="1" applyBorder="1"/>
    <xf numFmtId="167" fontId="26" fillId="8" borderId="31" xfId="0" applyNumberFormat="1" applyFont="1" applyFill="1" applyBorder="1"/>
    <xf numFmtId="166" fontId="28" fillId="8" borderId="29" xfId="0" applyNumberFormat="1" applyFont="1" applyFill="1" applyBorder="1"/>
    <xf numFmtId="168" fontId="28" fillId="8" borderId="29" xfId="0" applyNumberFormat="1" applyFont="1" applyFill="1" applyBorder="1" applyAlignment="1">
      <alignment horizontal="right"/>
    </xf>
    <xf numFmtId="170" fontId="28" fillId="8" borderId="29" xfId="0" applyNumberFormat="1" applyFont="1" applyFill="1" applyBorder="1"/>
    <xf numFmtId="170" fontId="26" fillId="8" borderId="31" xfId="0" applyNumberFormat="1" applyFont="1" applyFill="1" applyBorder="1"/>
    <xf numFmtId="170" fontId="26" fillId="8" borderId="29" xfId="0" applyNumberFormat="1" applyFont="1" applyFill="1" applyBorder="1"/>
    <xf numFmtId="168" fontId="26" fillId="8" borderId="30" xfId="0" applyNumberFormat="1" applyFont="1" applyFill="1" applyBorder="1" applyAlignment="1">
      <alignment horizontal="right"/>
    </xf>
    <xf numFmtId="168" fontId="29" fillId="8" borderId="29" xfId="0" applyNumberFormat="1" applyFont="1" applyFill="1" applyBorder="1" applyAlignment="1">
      <alignment horizontal="left" indent="1"/>
    </xf>
    <xf numFmtId="167" fontId="28" fillId="8" borderId="32" xfId="0" applyNumberFormat="1" applyFont="1" applyFill="1" applyBorder="1"/>
    <xf numFmtId="167" fontId="28" fillId="8" borderId="31" xfId="0" applyNumberFormat="1" applyFont="1" applyFill="1" applyBorder="1"/>
    <xf numFmtId="173" fontId="28" fillId="8" borderId="29" xfId="0" applyNumberFormat="1" applyFont="1" applyFill="1" applyBorder="1"/>
    <xf numFmtId="167" fontId="28" fillId="8" borderId="29" xfId="0" applyNumberFormat="1" applyFont="1" applyFill="1" applyBorder="1" applyAlignment="1">
      <alignment horizontal="right"/>
    </xf>
    <xf numFmtId="171" fontId="26" fillId="8" borderId="29" xfId="0" applyNumberFormat="1" applyFont="1" applyFill="1" applyBorder="1" applyAlignment="1">
      <alignment horizontal="right"/>
    </xf>
    <xf numFmtId="171" fontId="26" fillId="8" borderId="29" xfId="0" applyNumberFormat="1" applyFont="1" applyFill="1" applyBorder="1"/>
    <xf numFmtId="171" fontId="28" fillId="8" borderId="29" xfId="0" applyNumberFormat="1" applyFont="1" applyFill="1" applyBorder="1"/>
    <xf numFmtId="167" fontId="25" fillId="10" borderId="29" xfId="0" applyNumberFormat="1" applyFont="1" applyFill="1" applyBorder="1"/>
    <xf numFmtId="167" fontId="25" fillId="10" borderId="29" xfId="0" applyNumberFormat="1" applyFont="1" applyFill="1" applyBorder="1" applyAlignment="1">
      <alignment horizontal="right"/>
    </xf>
    <xf numFmtId="167" fontId="26" fillId="8" borderId="29" xfId="0" applyNumberFormat="1" applyFont="1" applyFill="1" applyBorder="1" applyAlignment="1">
      <alignment horizontal="right"/>
    </xf>
    <xf numFmtId="0" fontId="26" fillId="8" borderId="29" xfId="0" applyNumberFormat="1" applyFont="1" applyFill="1" applyBorder="1"/>
    <xf numFmtId="167" fontId="28" fillId="8" borderId="33" xfId="0" applyNumberFormat="1" applyFont="1" applyFill="1" applyBorder="1"/>
    <xf numFmtId="165" fontId="28" fillId="8" borderId="34" xfId="0" applyNumberFormat="1" applyFont="1" applyFill="1" applyBorder="1"/>
    <xf numFmtId="165" fontId="28" fillId="8" borderId="35" xfId="0" applyNumberFormat="1" applyFont="1" applyFill="1" applyBorder="1"/>
    <xf numFmtId="17" fontId="28" fillId="8" borderId="29" xfId="0" applyNumberFormat="1" applyFont="1" applyFill="1" applyBorder="1"/>
    <xf numFmtId="189" fontId="28" fillId="8" borderId="29" xfId="0" applyNumberFormat="1" applyFont="1" applyFill="1" applyBorder="1"/>
    <xf numFmtId="190" fontId="28" fillId="8" borderId="29" xfId="0" applyNumberFormat="1" applyFont="1" applyFill="1" applyBorder="1"/>
    <xf numFmtId="165" fontId="28" fillId="8" borderId="33" xfId="0" applyNumberFormat="1" applyFont="1" applyFill="1" applyBorder="1"/>
    <xf numFmtId="17" fontId="33" fillId="8" borderId="29" xfId="12" applyNumberFormat="1" applyFont="1" applyFill="1" applyBorder="1" applyAlignment="1">
      <alignment horizontal="center"/>
    </xf>
    <xf numFmtId="165" fontId="27" fillId="8" borderId="29" xfId="12" applyNumberFormat="1" applyFont="1" applyFill="1" applyBorder="1" applyAlignment="1">
      <alignment horizontal="center"/>
    </xf>
    <xf numFmtId="165" fontId="35" fillId="10" borderId="29" xfId="12" applyNumberFormat="1" applyFont="1" applyFill="1" applyBorder="1"/>
    <xf numFmtId="170" fontId="26" fillId="8" borderId="29" xfId="12" applyNumberFormat="1" applyFont="1" applyFill="1" applyBorder="1" applyAlignment="1">
      <alignment horizontal="right"/>
    </xf>
    <xf numFmtId="168" fontId="28" fillId="8" borderId="29" xfId="12" applyNumberFormat="1" applyFont="1" applyFill="1" applyBorder="1" applyAlignment="1">
      <alignment horizontal="right"/>
    </xf>
    <xf numFmtId="168" fontId="28" fillId="8" borderId="30" xfId="12" applyNumberFormat="1" applyFont="1" applyFill="1" applyBorder="1" applyAlignment="1">
      <alignment horizontal="right"/>
    </xf>
    <xf numFmtId="168" fontId="26" fillId="8" borderId="31" xfId="12" applyNumberFormat="1" applyFont="1" applyFill="1" applyBorder="1" applyAlignment="1">
      <alignment horizontal="right"/>
    </xf>
    <xf numFmtId="167" fontId="26" fillId="8" borderId="29" xfId="12" applyNumberFormat="1" applyFont="1" applyFill="1" applyBorder="1"/>
    <xf numFmtId="170" fontId="26" fillId="8" borderId="29" xfId="12" applyNumberFormat="1" applyFont="1" applyFill="1" applyBorder="1"/>
    <xf numFmtId="168" fontId="36" fillId="10" borderId="29" xfId="12" applyNumberFormat="1" applyFont="1" applyFill="1" applyBorder="1"/>
    <xf numFmtId="168" fontId="26" fillId="8" borderId="29" xfId="12" applyNumberFormat="1" applyFont="1" applyFill="1" applyBorder="1" applyAlignment="1">
      <alignment horizontal="center"/>
    </xf>
    <xf numFmtId="168" fontId="26" fillId="8" borderId="29" xfId="12" applyNumberFormat="1" applyFont="1" applyFill="1" applyBorder="1" applyAlignment="1">
      <alignment horizontal="right"/>
    </xf>
    <xf numFmtId="181" fontId="26" fillId="8" borderId="29" xfId="12" applyNumberFormat="1" applyFont="1" applyFill="1" applyBorder="1" applyAlignment="1">
      <alignment horizontal="right"/>
    </xf>
    <xf numFmtId="171" fontId="26" fillId="8" borderId="29" xfId="12" applyNumberFormat="1" applyFont="1" applyFill="1" applyBorder="1"/>
    <xf numFmtId="182" fontId="26" fillId="8" borderId="29" xfId="12" applyNumberFormat="1" applyFont="1" applyFill="1" applyBorder="1" applyAlignment="1">
      <alignment horizontal="right"/>
    </xf>
    <xf numFmtId="171" fontId="28" fillId="8" borderId="29" xfId="12" applyNumberFormat="1" applyFont="1" applyFill="1" applyBorder="1"/>
    <xf numFmtId="168" fontId="28" fillId="8" borderId="29" xfId="12" applyNumberFormat="1" applyFont="1" applyFill="1" applyBorder="1"/>
    <xf numFmtId="0" fontId="1" fillId="0" borderId="0" xfId="11" applyNumberFormat="1" applyFont="1" applyFill="1" applyBorder="1"/>
    <xf numFmtId="170" fontId="20" fillId="8" borderId="0" xfId="2" applyNumberFormat="1" applyFont="1" applyFill="1" applyBorder="1" applyAlignment="1">
      <alignment horizontal="left"/>
    </xf>
    <xf numFmtId="167" fontId="0" fillId="7" borderId="7" xfId="0" applyNumberFormat="1" applyFont="1" applyFill="1" applyBorder="1"/>
    <xf numFmtId="167" fontId="0" fillId="8" borderId="7" xfId="0" applyNumberFormat="1" applyFont="1" applyFill="1" applyBorder="1"/>
    <xf numFmtId="167" fontId="21" fillId="8" borderId="7" xfId="0" applyNumberFormat="1" applyFont="1" applyFill="1" applyBorder="1"/>
    <xf numFmtId="167" fontId="1" fillId="8" borderId="7" xfId="2" applyNumberFormat="1" applyFont="1" applyFill="1" applyBorder="1" applyAlignment="1">
      <alignment horizontal="left" indent="1"/>
    </xf>
    <xf numFmtId="167" fontId="20" fillId="8" borderId="0" xfId="2" applyNumberFormat="1" applyFont="1" applyFill="1" applyBorder="1" applyAlignment="1">
      <alignment horizontal="left" indent="2"/>
    </xf>
    <xf numFmtId="167" fontId="27" fillId="8" borderId="7" xfId="2" applyNumberFormat="1" applyFont="1" applyFill="1" applyBorder="1"/>
    <xf numFmtId="166" fontId="21" fillId="8" borderId="0" xfId="0" applyNumberFormat="1" applyFont="1" applyFill="1" applyBorder="1"/>
    <xf numFmtId="170" fontId="21" fillId="8" borderId="0" xfId="0" applyNumberFormat="1" applyFont="1" applyFill="1" applyBorder="1"/>
    <xf numFmtId="170" fontId="22" fillId="8" borderId="0" xfId="0" applyNumberFormat="1" applyFont="1" applyFill="1" applyBorder="1"/>
    <xf numFmtId="173" fontId="21" fillId="8" borderId="0" xfId="0" applyNumberFormat="1" applyFont="1" applyFill="1" applyBorder="1"/>
    <xf numFmtId="166" fontId="0" fillId="7" borderId="0" xfId="0" applyNumberFormat="1" applyFont="1" applyFill="1" applyBorder="1"/>
    <xf numFmtId="167" fontId="0" fillId="7" borderId="27" xfId="0" applyNumberFormat="1" applyFont="1" applyFill="1" applyBorder="1"/>
    <xf numFmtId="193" fontId="14" fillId="5" borderId="0" xfId="11" applyNumberFormat="1" applyFont="1" applyFill="1" applyBorder="1"/>
    <xf numFmtId="193" fontId="28" fillId="8" borderId="0" xfId="0" applyNumberFormat="1" applyFont="1" applyFill="1" applyBorder="1"/>
    <xf numFmtId="1" fontId="22" fillId="8" borderId="29" xfId="0" applyNumberFormat="1" applyFont="1" applyFill="1" applyBorder="1" applyAlignment="1">
      <alignment horizontal="center"/>
    </xf>
    <xf numFmtId="17" fontId="1" fillId="8" borderId="29" xfId="0" applyNumberFormat="1" applyFont="1" applyFill="1" applyBorder="1" applyAlignment="1">
      <alignment horizontal="center"/>
    </xf>
    <xf numFmtId="0" fontId="2" fillId="8" borderId="29" xfId="0" applyNumberFormat="1" applyFont="1" applyFill="1" applyBorder="1" applyAlignment="1">
      <alignment horizontal="center"/>
    </xf>
    <xf numFmtId="168" fontId="22" fillId="8" borderId="31" xfId="0" applyNumberFormat="1" applyFont="1" applyFill="1" applyBorder="1" applyAlignment="1">
      <alignment horizontal="right"/>
    </xf>
    <xf numFmtId="167" fontId="21" fillId="8" borderId="29" xfId="0" applyNumberFormat="1" applyFont="1" applyFill="1" applyBorder="1"/>
    <xf numFmtId="167" fontId="22" fillId="8" borderId="29" xfId="0" applyNumberFormat="1" applyFont="1" applyFill="1" applyBorder="1"/>
    <xf numFmtId="167" fontId="21" fillId="8" borderId="30" xfId="0" applyNumberFormat="1" applyFont="1" applyFill="1" applyBorder="1"/>
    <xf numFmtId="167" fontId="22" fillId="8" borderId="31" xfId="0" applyNumberFormat="1" applyFont="1" applyFill="1" applyBorder="1"/>
    <xf numFmtId="168" fontId="21" fillId="8" borderId="29" xfId="0" applyNumberFormat="1" applyFont="1" applyFill="1" applyBorder="1"/>
    <xf numFmtId="168" fontId="22" fillId="8" borderId="31" xfId="0" applyNumberFormat="1" applyFont="1" applyFill="1" applyBorder="1"/>
    <xf numFmtId="168" fontId="22" fillId="8" borderId="29" xfId="0" applyNumberFormat="1" applyFont="1" applyFill="1" applyBorder="1"/>
    <xf numFmtId="168" fontId="30" fillId="8" borderId="29" xfId="0" applyNumberFormat="1" applyFont="1" applyFill="1" applyBorder="1"/>
    <xf numFmtId="168" fontId="22" fillId="8" borderId="29" xfId="0" applyNumberFormat="1" applyFont="1" applyFill="1" applyBorder="1" applyAlignment="1">
      <alignment horizontal="right"/>
    </xf>
    <xf numFmtId="167" fontId="30" fillId="8" borderId="29" xfId="0" applyNumberFormat="1" applyFont="1" applyFill="1" applyBorder="1"/>
    <xf numFmtId="170" fontId="30" fillId="8" borderId="29" xfId="0" applyNumberFormat="1" applyFont="1" applyFill="1" applyBorder="1"/>
    <xf numFmtId="170" fontId="22" fillId="8" borderId="29" xfId="2" applyNumberFormat="1" applyFont="1" applyFill="1" applyBorder="1"/>
    <xf numFmtId="170" fontId="30" fillId="8" borderId="29" xfId="2" applyNumberFormat="1" applyFont="1" applyFill="1" applyBorder="1"/>
    <xf numFmtId="167" fontId="21" fillId="8" borderId="33" xfId="0" applyNumberFormat="1" applyFont="1" applyFill="1" applyBorder="1"/>
    <xf numFmtId="167" fontId="21" fillId="8" borderId="29" xfId="0" applyNumberFormat="1" applyFont="1" applyFill="1" applyBorder="1" applyAlignment="1">
      <alignment horizontal="right"/>
    </xf>
    <xf numFmtId="170" fontId="22" fillId="8" borderId="29" xfId="0" applyNumberFormat="1" applyFont="1" applyFill="1" applyBorder="1" applyAlignment="1">
      <alignment horizontal="right"/>
    </xf>
    <xf numFmtId="189" fontId="21" fillId="8" borderId="29" xfId="0" applyNumberFormat="1" applyFont="1" applyFill="1" applyBorder="1" applyAlignment="1">
      <alignment horizontal="right"/>
    </xf>
    <xf numFmtId="190" fontId="21" fillId="8" borderId="29" xfId="0" applyNumberFormat="1" applyFont="1" applyFill="1" applyBorder="1" applyAlignment="1">
      <alignment horizontal="right"/>
    </xf>
    <xf numFmtId="168" fontId="46" fillId="8" borderId="29" xfId="0" applyNumberFormat="1" applyFont="1" applyFill="1" applyBorder="1"/>
    <xf numFmtId="167" fontId="22" fillId="8" borderId="29" xfId="0" applyNumberFormat="1" applyFont="1" applyFill="1" applyBorder="1" applyAlignment="1">
      <alignment horizontal="right"/>
    </xf>
    <xf numFmtId="168" fontId="23" fillId="8" borderId="29" xfId="0" applyNumberFormat="1" applyFont="1" applyFill="1" applyBorder="1" applyAlignment="1">
      <alignment horizontal="right"/>
    </xf>
    <xf numFmtId="0" fontId="1" fillId="0" borderId="0" xfId="11" applyNumberFormat="1" applyFont="1" applyFill="1" applyBorder="1"/>
    <xf numFmtId="167" fontId="0" fillId="8" borderId="7" xfId="0" applyNumberFormat="1" applyFont="1" applyFill="1" applyBorder="1" applyAlignment="1">
      <alignment horizontal="left" indent="1"/>
    </xf>
    <xf numFmtId="165" fontId="29" fillId="8" borderId="0" xfId="0" applyNumberFormat="1" applyFont="1" applyFill="1" applyBorder="1" applyAlignment="1">
      <alignment horizontal="left"/>
    </xf>
    <xf numFmtId="168" fontId="29" fillId="8" borderId="0" xfId="0" applyNumberFormat="1" applyFont="1" applyFill="1" applyBorder="1" applyAlignment="1">
      <alignment horizontal="right"/>
    </xf>
    <xf numFmtId="168" fontId="29" fillId="8" borderId="29" xfId="0" applyNumberFormat="1" applyFont="1" applyFill="1" applyBorder="1" applyAlignment="1">
      <alignment horizontal="right"/>
    </xf>
    <xf numFmtId="168" fontId="26" fillId="8" borderId="7" xfId="0" applyNumberFormat="1" applyFont="1" applyFill="1" applyBorder="1" applyAlignment="1">
      <alignment horizontal="left"/>
    </xf>
    <xf numFmtId="168" fontId="26" fillId="8" borderId="31" xfId="0" applyNumberFormat="1" applyFont="1" applyFill="1" applyBorder="1"/>
    <xf numFmtId="168" fontId="29" fillId="8" borderId="29" xfId="0" applyNumberFormat="1" applyFont="1" applyFill="1" applyBorder="1"/>
    <xf numFmtId="167" fontId="27" fillId="8" borderId="27" xfId="2" applyNumberFormat="1" applyFont="1" applyFill="1" applyBorder="1" applyAlignment="1">
      <alignment horizontal="left" indent="1"/>
    </xf>
    <xf numFmtId="195" fontId="28" fillId="8" borderId="0" xfId="0" applyNumberFormat="1" applyFont="1" applyFill="1" applyBorder="1" applyAlignment="1">
      <alignment horizontal="left" indent="3"/>
    </xf>
    <xf numFmtId="195" fontId="0" fillId="8" borderId="0" xfId="0" applyNumberFormat="1" applyFont="1" applyFill="1" applyBorder="1"/>
    <xf numFmtId="195" fontId="0" fillId="0" borderId="0" xfId="0" applyNumberFormat="1" applyFont="1" applyFill="1" applyBorder="1"/>
    <xf numFmtId="194" fontId="26" fillId="8" borderId="0" xfId="0" applyNumberFormat="1" applyFont="1" applyFill="1" applyBorder="1"/>
    <xf numFmtId="194" fontId="26" fillId="7" borderId="0" xfId="0" applyNumberFormat="1" applyFont="1" applyFill="1" applyBorder="1"/>
    <xf numFmtId="195" fontId="20" fillId="8" borderId="0" xfId="2" applyNumberFormat="1" applyFont="1" applyFill="1" applyBorder="1" applyAlignment="1">
      <alignment horizontal="left"/>
    </xf>
    <xf numFmtId="194" fontId="26" fillId="8" borderId="0" xfId="0" applyNumberFormat="1" applyFont="1" applyFill="1" applyBorder="1" applyAlignment="1">
      <alignment horizontal="left" indent="3"/>
    </xf>
    <xf numFmtId="194" fontId="5" fillId="8" borderId="0" xfId="0" applyNumberFormat="1" applyFont="1" applyFill="1" applyBorder="1"/>
    <xf numFmtId="194" fontId="5" fillId="0" borderId="0" xfId="0" applyNumberFormat="1" applyFont="1" applyFill="1" applyBorder="1"/>
    <xf numFmtId="167" fontId="20" fillId="8" borderId="27" xfId="2" applyNumberFormat="1" applyFont="1" applyFill="1" applyBorder="1" applyAlignment="1">
      <alignment horizontal="left" indent="1"/>
    </xf>
    <xf numFmtId="167" fontId="27" fillId="8" borderId="7" xfId="2" applyNumberFormat="1" applyFont="1" applyFill="1" applyBorder="1" applyAlignment="1">
      <alignment horizontal="left"/>
    </xf>
    <xf numFmtId="168" fontId="45" fillId="0" borderId="0" xfId="0" applyNumberFormat="1" applyFont="1" applyFill="1" applyBorder="1"/>
    <xf numFmtId="168" fontId="19" fillId="8" borderId="0" xfId="0" applyNumberFormat="1" applyFont="1" applyFill="1" applyBorder="1" applyAlignment="1">
      <alignment horizontal="center"/>
    </xf>
    <xf numFmtId="168" fontId="23" fillId="8" borderId="0" xfId="0" applyNumberFormat="1" applyFont="1" applyFill="1" applyBorder="1" applyAlignment="1">
      <alignment horizontal="center"/>
    </xf>
    <xf numFmtId="168" fontId="19" fillId="7" borderId="0" xfId="0" applyNumberFormat="1" applyFont="1" applyFill="1" applyBorder="1" applyAlignment="1">
      <alignment horizontal="center"/>
    </xf>
    <xf numFmtId="196" fontId="12" fillId="8" borderId="0" xfId="0" applyNumberFormat="1" applyFont="1" applyFill="1" applyBorder="1"/>
    <xf numFmtId="196" fontId="26" fillId="7" borderId="0" xfId="0" applyNumberFormat="1" applyFont="1" applyFill="1" applyBorder="1"/>
    <xf numFmtId="194" fontId="27" fillId="8" borderId="0" xfId="2" applyNumberFormat="1" applyFont="1" applyFill="1" applyBorder="1"/>
    <xf numFmtId="194" fontId="26" fillId="8" borderId="29" xfId="0" applyNumberFormat="1" applyFont="1" applyFill="1" applyBorder="1"/>
    <xf numFmtId="196" fontId="26" fillId="8" borderId="0" xfId="0" applyNumberFormat="1" applyFont="1" applyFill="1" applyBorder="1"/>
    <xf numFmtId="196" fontId="26" fillId="8" borderId="29" xfId="0" applyNumberFormat="1" applyFont="1" applyFill="1" applyBorder="1"/>
    <xf numFmtId="168" fontId="0" fillId="8" borderId="29" xfId="0" applyNumberFormat="1" applyFont="1" applyFill="1" applyBorder="1"/>
    <xf numFmtId="168" fontId="23" fillId="8" borderId="29" xfId="0" applyNumberFormat="1" applyFont="1" applyFill="1" applyBorder="1"/>
    <xf numFmtId="167" fontId="26" fillId="8" borderId="32" xfId="0" applyNumberFormat="1" applyFont="1" applyFill="1" applyBorder="1"/>
    <xf numFmtId="167" fontId="5" fillId="8" borderId="29" xfId="0" applyNumberFormat="1" applyFont="1" applyFill="1" applyBorder="1"/>
    <xf numFmtId="167" fontId="5" fillId="8" borderId="32" xfId="0" applyNumberFormat="1" applyFont="1" applyFill="1" applyBorder="1"/>
    <xf numFmtId="0" fontId="1" fillId="0" borderId="0" xfId="11" applyNumberFormat="1" applyFont="1" applyFill="1" applyBorder="1"/>
    <xf numFmtId="165" fontId="26" fillId="8" borderId="12" xfId="0" applyNumberFormat="1" applyFont="1" applyFill="1" applyBorder="1" applyAlignment="1">
      <alignment horizontal="left"/>
    </xf>
    <xf numFmtId="167" fontId="26" fillId="8" borderId="35" xfId="0" applyNumberFormat="1" applyFont="1" applyFill="1" applyBorder="1" applyAlignment="1">
      <alignment horizontal="right"/>
    </xf>
    <xf numFmtId="167" fontId="57" fillId="0" borderId="0" xfId="12" applyNumberFormat="1"/>
    <xf numFmtId="0" fontId="53" fillId="8" borderId="0" xfId="7" applyFont="1" applyFill="1"/>
    <xf numFmtId="165" fontId="28" fillId="8" borderId="0" xfId="12" applyNumberFormat="1" applyFont="1" applyFill="1"/>
    <xf numFmtId="178" fontId="1" fillId="8" borderId="0" xfId="12" applyNumberFormat="1" applyFont="1" applyFill="1" applyAlignment="1">
      <alignment horizontal="left"/>
    </xf>
    <xf numFmtId="169" fontId="20" fillId="8" borderId="0" xfId="12" applyNumberFormat="1" applyFont="1" applyFill="1" applyAlignment="1">
      <alignment horizontal="center"/>
    </xf>
    <xf numFmtId="197" fontId="57" fillId="8" borderId="0" xfId="12" applyNumberFormat="1" applyFill="1"/>
    <xf numFmtId="187" fontId="2" fillId="8" borderId="0" xfId="12" applyNumberFormat="1" applyFont="1" applyFill="1" applyAlignment="1">
      <alignment horizontal="left"/>
    </xf>
    <xf numFmtId="170" fontId="4" fillId="8" borderId="0" xfId="14" applyNumberFormat="1" applyFont="1" applyFill="1" applyAlignment="1">
      <alignment horizontal="center"/>
    </xf>
    <xf numFmtId="0" fontId="5" fillId="7" borderId="0" xfId="12" applyFont="1" applyFill="1" applyAlignment="1">
      <alignment horizontal="center"/>
    </xf>
    <xf numFmtId="188" fontId="2" fillId="8" borderId="0" xfId="12" applyNumberFormat="1" applyFont="1" applyFill="1"/>
    <xf numFmtId="0" fontId="5" fillId="8" borderId="0" xfId="12" applyFont="1" applyFill="1" applyAlignment="1">
      <alignment horizontal="center"/>
    </xf>
    <xf numFmtId="17" fontId="57" fillId="7" borderId="0" xfId="12" applyNumberFormat="1" applyFill="1" applyAlignment="1">
      <alignment horizontal="center"/>
    </xf>
    <xf numFmtId="184" fontId="2" fillId="8" borderId="0" xfId="12" applyNumberFormat="1" applyFont="1" applyFill="1"/>
    <xf numFmtId="0" fontId="27" fillId="8" borderId="0" xfId="14" applyNumberFormat="1" applyFont="1" applyFill="1" applyAlignment="1">
      <alignment horizontal="center"/>
    </xf>
    <xf numFmtId="165" fontId="5" fillId="0" borderId="0" xfId="12" applyNumberFormat="1" applyFont="1"/>
    <xf numFmtId="165" fontId="25" fillId="10" borderId="0" xfId="12" applyNumberFormat="1" applyFont="1" applyFill="1"/>
    <xf numFmtId="167" fontId="5" fillId="0" borderId="0" xfId="12" applyNumberFormat="1" applyFont="1"/>
    <xf numFmtId="0" fontId="57" fillId="0" borderId="0" xfId="12"/>
    <xf numFmtId="167" fontId="57" fillId="8" borderId="0" xfId="12" applyNumberFormat="1" applyFill="1"/>
    <xf numFmtId="17" fontId="57" fillId="8" borderId="0" xfId="12" applyNumberFormat="1" applyFill="1" applyAlignment="1">
      <alignment horizontal="center"/>
    </xf>
    <xf numFmtId="165" fontId="5" fillId="8" borderId="0" xfId="12" applyNumberFormat="1" applyFont="1" applyFill="1"/>
    <xf numFmtId="167" fontId="5" fillId="8" borderId="0" xfId="12" applyNumberFormat="1" applyFont="1" applyFill="1"/>
    <xf numFmtId="0" fontId="57" fillId="8" borderId="0" xfId="12" applyFill="1"/>
    <xf numFmtId="165" fontId="33" fillId="8" borderId="0" xfId="12" applyNumberFormat="1" applyFont="1" applyFill="1" applyAlignment="1">
      <alignment horizontal="center"/>
    </xf>
    <xf numFmtId="167" fontId="26" fillId="8" borderId="0" xfId="12" applyNumberFormat="1" applyFont="1" applyFill="1" applyAlignment="1">
      <alignment horizontal="left"/>
    </xf>
    <xf numFmtId="167" fontId="26" fillId="8" borderId="0" xfId="12" applyNumberFormat="1" applyFont="1" applyFill="1" applyAlignment="1">
      <alignment horizontal="left" indent="4"/>
    </xf>
    <xf numFmtId="167" fontId="26" fillId="8" borderId="0" xfId="12" applyNumberFormat="1" applyFont="1" applyFill="1"/>
    <xf numFmtId="167" fontId="26" fillId="7" borderId="0" xfId="12" applyNumberFormat="1" applyFont="1" applyFill="1"/>
    <xf numFmtId="0" fontId="36" fillId="10" borderId="0" xfId="12" applyFont="1" applyFill="1"/>
    <xf numFmtId="0" fontId="36" fillId="10" borderId="0" xfId="12" applyNumberFormat="1" applyFont="1" applyFill="1"/>
    <xf numFmtId="197" fontId="57" fillId="8" borderId="0" xfId="12" applyNumberFormat="1" applyFill="1" applyBorder="1"/>
    <xf numFmtId="0" fontId="5" fillId="7" borderId="0" xfId="12" applyFont="1" applyFill="1" applyBorder="1" applyAlignment="1">
      <alignment horizontal="center"/>
    </xf>
    <xf numFmtId="0" fontId="5" fillId="8" borderId="0" xfId="12" applyFont="1" applyFill="1" applyBorder="1" applyAlignment="1">
      <alignment horizontal="center"/>
    </xf>
    <xf numFmtId="17" fontId="57" fillId="7" borderId="0" xfId="12" applyNumberFormat="1" applyFill="1" applyBorder="1" applyAlignment="1">
      <alignment horizontal="center"/>
    </xf>
    <xf numFmtId="17" fontId="57" fillId="8" borderId="0" xfId="12" applyNumberFormat="1" applyFill="1" applyBorder="1" applyAlignment="1">
      <alignment horizontal="center"/>
    </xf>
    <xf numFmtId="0" fontId="36" fillId="10" borderId="0" xfId="12" applyNumberFormat="1" applyFont="1" applyFill="1" applyBorder="1"/>
    <xf numFmtId="0" fontId="57" fillId="8" borderId="0" xfId="12" applyFill="1" applyBorder="1"/>
    <xf numFmtId="197" fontId="57" fillId="8" borderId="29" xfId="12" applyNumberFormat="1" applyFill="1" applyBorder="1"/>
    <xf numFmtId="0" fontId="5" fillId="8" borderId="29" xfId="12" applyFont="1" applyFill="1" applyBorder="1" applyAlignment="1">
      <alignment horizontal="center"/>
    </xf>
    <xf numFmtId="17" fontId="57" fillId="8" borderId="29" xfId="12" applyNumberFormat="1" applyFill="1" applyBorder="1" applyAlignment="1">
      <alignment horizontal="center"/>
    </xf>
    <xf numFmtId="165" fontId="25" fillId="10" borderId="29" xfId="12" applyNumberFormat="1" applyFont="1" applyFill="1" applyBorder="1"/>
    <xf numFmtId="167" fontId="19" fillId="8" borderId="0" xfId="0" applyNumberFormat="1" applyFont="1" applyFill="1" applyBorder="1" applyAlignment="1">
      <alignment horizontal="left" indent="1"/>
    </xf>
    <xf numFmtId="167" fontId="20" fillId="8" borderId="0" xfId="2" applyNumberFormat="1" applyFont="1" applyFill="1" applyBorder="1" applyAlignment="1">
      <alignment horizontal="left"/>
    </xf>
    <xf numFmtId="168" fontId="20" fillId="8" borderId="0" xfId="2" applyNumberFormat="1" applyFont="1" applyFill="1" applyBorder="1" applyAlignment="1">
      <alignment horizontal="left" indent="2"/>
    </xf>
    <xf numFmtId="168" fontId="20" fillId="8" borderId="27" xfId="2" applyNumberFormat="1" applyFont="1" applyFill="1" applyBorder="1" applyAlignment="1">
      <alignment horizontal="left" indent="1"/>
    </xf>
    <xf numFmtId="168" fontId="27" fillId="8" borderId="0" xfId="2" applyNumberFormat="1" applyFont="1" applyFill="1" applyBorder="1" applyAlignment="1">
      <alignment horizontal="left"/>
    </xf>
    <xf numFmtId="168" fontId="28" fillId="8" borderId="27" xfId="0" applyNumberFormat="1" applyFont="1" applyFill="1" applyBorder="1" applyAlignment="1">
      <alignment horizontal="left" indent="3"/>
    </xf>
    <xf numFmtId="168" fontId="28" fillId="7" borderId="27" xfId="0" applyNumberFormat="1" applyFont="1" applyFill="1" applyBorder="1"/>
    <xf numFmtId="168" fontId="28" fillId="8" borderId="27" xfId="0" applyNumberFormat="1" applyFont="1" applyFill="1" applyBorder="1"/>
    <xf numFmtId="168" fontId="28" fillId="8" borderId="32" xfId="0" applyNumberFormat="1" applyFont="1" applyFill="1" applyBorder="1"/>
    <xf numFmtId="165" fontId="25" fillId="10" borderId="0" xfId="0" applyNumberFormat="1" applyFont="1" applyFill="1"/>
    <xf numFmtId="168" fontId="30" fillId="8" borderId="0" xfId="2" applyNumberFormat="1" applyFont="1" applyFill="1" applyBorder="1" applyAlignment="1">
      <alignment horizontal="left" indent="2"/>
    </xf>
    <xf numFmtId="167" fontId="29" fillId="8" borderId="0" xfId="0" applyNumberFormat="1" applyFont="1" applyFill="1" applyBorder="1" applyAlignment="1">
      <alignment horizontal="left" indent="4"/>
    </xf>
    <xf numFmtId="168" fontId="19" fillId="8" borderId="0" xfId="0" applyNumberFormat="1" applyFont="1" applyFill="1" applyBorder="1" applyAlignment="1">
      <alignment horizontal="left" indent="2"/>
    </xf>
    <xf numFmtId="167" fontId="27" fillId="8" borderId="0" xfId="2" applyNumberFormat="1" applyFont="1" applyFill="1" applyBorder="1" applyAlignment="1">
      <alignment horizontal="left"/>
    </xf>
    <xf numFmtId="168" fontId="28" fillId="8" borderId="0" xfId="0" applyNumberFormat="1" applyFont="1" applyFill="1" applyBorder="1" applyAlignment="1">
      <alignment horizontal="left" indent="2"/>
    </xf>
    <xf numFmtId="168" fontId="28" fillId="0" borderId="0" xfId="0" applyNumberFormat="1" applyFont="1" applyFill="1" applyBorder="1"/>
    <xf numFmtId="168" fontId="26" fillId="8" borderId="2" xfId="0" applyNumberFormat="1" applyFont="1" applyFill="1" applyBorder="1" applyAlignment="1">
      <alignment horizontal="left" indent="3"/>
    </xf>
    <xf numFmtId="168" fontId="30" fillId="8" borderId="0" xfId="2" applyNumberFormat="1" applyFont="1" applyFill="1" applyBorder="1"/>
    <xf numFmtId="168" fontId="28" fillId="8" borderId="7" xfId="0" applyNumberFormat="1" applyFont="1" applyFill="1" applyBorder="1" applyAlignment="1">
      <alignment horizontal="left" indent="1"/>
    </xf>
    <xf numFmtId="168" fontId="20" fillId="8" borderId="7" xfId="2" applyNumberFormat="1" applyFont="1" applyFill="1" applyBorder="1"/>
    <xf numFmtId="168" fontId="28" fillId="7" borderId="7" xfId="0" applyNumberFormat="1" applyFont="1" applyFill="1" applyBorder="1" applyAlignment="1">
      <alignment horizontal="right"/>
    </xf>
    <xf numFmtId="168" fontId="28" fillId="8" borderId="7" xfId="0" applyNumberFormat="1" applyFont="1" applyFill="1" applyBorder="1" applyAlignment="1">
      <alignment horizontal="right"/>
    </xf>
    <xf numFmtId="168" fontId="28" fillId="8" borderId="31" xfId="0" applyNumberFormat="1" applyFont="1" applyFill="1" applyBorder="1" applyAlignment="1">
      <alignment horizontal="right"/>
    </xf>
    <xf numFmtId="168" fontId="28" fillId="8" borderId="7" xfId="0" applyNumberFormat="1" applyFont="1" applyFill="1" applyBorder="1" applyAlignment="1">
      <alignment horizontal="left" indent="3"/>
    </xf>
    <xf numFmtId="168" fontId="21" fillId="8" borderId="29" xfId="0" applyNumberFormat="1" applyFont="1" applyFill="1" applyBorder="1" applyAlignment="1">
      <alignment horizontal="right"/>
    </xf>
    <xf numFmtId="168" fontId="5" fillId="8" borderId="31" xfId="0" applyNumberFormat="1" applyFont="1" applyFill="1" applyBorder="1" applyAlignment="1">
      <alignment horizontal="right"/>
    </xf>
    <xf numFmtId="167" fontId="28" fillId="8" borderId="0" xfId="0" applyNumberFormat="1" applyFont="1" applyFill="1" applyAlignment="1">
      <alignment horizontal="left"/>
    </xf>
    <xf numFmtId="167" fontId="28" fillId="8" borderId="0" xfId="0" applyNumberFormat="1" applyFont="1" applyFill="1" applyAlignment="1">
      <alignment horizontal="left" indent="4"/>
    </xf>
    <xf numFmtId="167" fontId="28" fillId="8" borderId="0" xfId="0" applyNumberFormat="1" applyFont="1" applyFill="1"/>
    <xf numFmtId="168" fontId="26" fillId="8" borderId="0" xfId="0" applyNumberFormat="1" applyFont="1" applyFill="1" applyAlignment="1">
      <alignment horizontal="left"/>
    </xf>
    <xf numFmtId="168" fontId="26" fillId="8" borderId="0" xfId="0" applyNumberFormat="1" applyFont="1" applyFill="1" applyAlignment="1">
      <alignment horizontal="left" indent="4"/>
    </xf>
    <xf numFmtId="168" fontId="26" fillId="7" borderId="0" xfId="0" applyNumberFormat="1" applyFont="1" applyFill="1"/>
    <xf numFmtId="168" fontId="26" fillId="8" borderId="0" xfId="0" applyNumberFormat="1" applyFont="1" applyFill="1"/>
    <xf numFmtId="168" fontId="5" fillId="8" borderId="0" xfId="0" applyNumberFormat="1" applyFont="1" applyFill="1"/>
    <xf numFmtId="168" fontId="5" fillId="0" borderId="0" xfId="0" applyNumberFormat="1" applyFont="1"/>
    <xf numFmtId="167" fontId="26" fillId="8" borderId="0" xfId="0" applyNumberFormat="1" applyFont="1" applyFill="1" applyAlignment="1">
      <alignment horizontal="left"/>
    </xf>
    <xf numFmtId="167" fontId="26" fillId="8" borderId="0" xfId="0" applyNumberFormat="1" applyFont="1" applyFill="1" applyAlignment="1">
      <alignment horizontal="left" indent="4"/>
    </xf>
    <xf numFmtId="167" fontId="26" fillId="7" borderId="0" xfId="0" applyNumberFormat="1" applyFont="1" applyFill="1"/>
    <xf numFmtId="167" fontId="26" fillId="8" borderId="0" xfId="0" applyNumberFormat="1" applyFont="1" applyFill="1"/>
    <xf numFmtId="168" fontId="29" fillId="8" borderId="0" xfId="0" applyNumberFormat="1" applyFont="1" applyFill="1" applyAlignment="1">
      <alignment horizontal="left" indent="1"/>
    </xf>
    <xf numFmtId="168" fontId="29" fillId="8" borderId="0" xfId="0" applyNumberFormat="1" applyFont="1" applyFill="1" applyAlignment="1">
      <alignment horizontal="left" indent="4"/>
    </xf>
    <xf numFmtId="168" fontId="29" fillId="7" borderId="0" xfId="0" applyNumberFormat="1" applyFont="1" applyFill="1"/>
    <xf numFmtId="168" fontId="29" fillId="8" borderId="0" xfId="0" applyNumberFormat="1" applyFont="1" applyFill="1"/>
    <xf numFmtId="168" fontId="19" fillId="8" borderId="0" xfId="0" applyNumberFormat="1" applyFont="1" applyFill="1"/>
    <xf numFmtId="168" fontId="19" fillId="0" borderId="0" xfId="0" applyNumberFormat="1" applyFont="1"/>
    <xf numFmtId="168" fontId="28" fillId="8" borderId="0" xfId="0" applyNumberFormat="1" applyFont="1" applyFill="1" applyAlignment="1">
      <alignment horizontal="left"/>
    </xf>
    <xf numFmtId="168" fontId="28" fillId="8" borderId="0" xfId="0" applyNumberFormat="1" applyFont="1" applyFill="1" applyAlignment="1">
      <alignment horizontal="left" indent="4"/>
    </xf>
    <xf numFmtId="168" fontId="28" fillId="7" borderId="0" xfId="0" applyNumberFormat="1" applyFont="1" applyFill="1"/>
    <xf numFmtId="168" fontId="28" fillId="8" borderId="0" xfId="0" applyNumberFormat="1" applyFont="1" applyFill="1"/>
    <xf numFmtId="168" fontId="0" fillId="8" borderId="0" xfId="0" applyNumberFormat="1" applyFill="1"/>
    <xf numFmtId="168" fontId="0" fillId="0" borderId="0" xfId="0" applyNumberFormat="1"/>
    <xf numFmtId="165" fontId="28" fillId="8" borderId="0" xfId="0" applyNumberFormat="1" applyFont="1" applyFill="1" applyAlignment="1">
      <alignment horizontal="left" indent="1"/>
    </xf>
    <xf numFmtId="0" fontId="0" fillId="0" borderId="0" xfId="0"/>
    <xf numFmtId="168" fontId="5" fillId="8" borderId="29" xfId="0" applyNumberFormat="1" applyFont="1" applyFill="1" applyBorder="1" applyAlignment="1">
      <alignment horizontal="right"/>
    </xf>
    <xf numFmtId="167" fontId="29" fillId="8" borderId="0" xfId="0" applyNumberFormat="1" applyFont="1" applyFill="1" applyBorder="1" applyAlignment="1">
      <alignment horizontal="left" indent="2"/>
    </xf>
    <xf numFmtId="168" fontId="29" fillId="8" borderId="0" xfId="0" applyNumberFormat="1" applyFont="1" applyFill="1" applyBorder="1" applyAlignment="1">
      <alignment horizontal="left" indent="2"/>
    </xf>
    <xf numFmtId="167" fontId="26" fillId="8" borderId="0" xfId="0" applyNumberFormat="1" applyFont="1" applyFill="1" applyBorder="1" applyAlignment="1">
      <alignment horizontal="left" indent="1"/>
    </xf>
    <xf numFmtId="167" fontId="5" fillId="8" borderId="0" xfId="0" applyNumberFormat="1" applyFont="1" applyFill="1" applyBorder="1" applyAlignment="1">
      <alignment horizontal="left" indent="1"/>
    </xf>
    <xf numFmtId="167" fontId="30" fillId="8" borderId="0" xfId="2" applyNumberFormat="1" applyFont="1" applyFill="1" applyBorder="1" applyAlignment="1">
      <alignment horizontal="left" indent="1"/>
    </xf>
    <xf numFmtId="167" fontId="27" fillId="8" borderId="0" xfId="4" applyNumberFormat="1" applyFont="1" applyFill="1" applyBorder="1"/>
    <xf numFmtId="167" fontId="26" fillId="7" borderId="0" xfId="12" applyNumberFormat="1" applyFont="1" applyFill="1" applyBorder="1" applyAlignment="1">
      <alignment horizontal="right"/>
    </xf>
    <xf numFmtId="167" fontId="26" fillId="8" borderId="0" xfId="12" applyNumberFormat="1" applyFont="1" applyFill="1" applyBorder="1" applyAlignment="1">
      <alignment horizontal="right"/>
    </xf>
    <xf numFmtId="167" fontId="26" fillId="8" borderId="29" xfId="12" applyNumberFormat="1" applyFont="1" applyFill="1" applyBorder="1" applyAlignment="1">
      <alignment horizontal="right"/>
    </xf>
    <xf numFmtId="167" fontId="32" fillId="8" borderId="0" xfId="0" applyNumberFormat="1" applyFont="1" applyFill="1" applyBorder="1" applyAlignment="1">
      <alignment horizontal="left" indent="4"/>
    </xf>
    <xf numFmtId="167" fontId="32" fillId="7" borderId="0" xfId="0" applyNumberFormat="1" applyFont="1" applyFill="1" applyBorder="1"/>
    <xf numFmtId="167" fontId="32" fillId="8" borderId="0" xfId="0" applyNumberFormat="1" applyFont="1" applyFill="1" applyBorder="1"/>
    <xf numFmtId="167" fontId="45" fillId="8" borderId="0" xfId="0" applyNumberFormat="1" applyFont="1" applyFill="1" applyBorder="1"/>
    <xf numFmtId="167" fontId="45" fillId="0" borderId="0" xfId="0" applyNumberFormat="1" applyFont="1" applyFill="1" applyBorder="1"/>
    <xf numFmtId="167" fontId="32" fillId="8" borderId="0" xfId="0" applyNumberFormat="1" applyFont="1" applyFill="1" applyBorder="1" applyAlignment="1">
      <alignment horizontal="left" indent="1"/>
    </xf>
    <xf numFmtId="167" fontId="32" fillId="8" borderId="29" xfId="0" applyNumberFormat="1" applyFont="1" applyFill="1" applyBorder="1"/>
    <xf numFmtId="167" fontId="29" fillId="8" borderId="29" xfId="0" applyNumberFormat="1" applyFont="1" applyFill="1" applyBorder="1"/>
    <xf numFmtId="168" fontId="26" fillId="8" borderId="7" xfId="12" applyNumberFormat="1" applyFont="1" applyFill="1" applyBorder="1" applyAlignment="1">
      <alignment horizontal="left"/>
    </xf>
    <xf numFmtId="168" fontId="19" fillId="8" borderId="2" xfId="0" applyNumberFormat="1" applyFont="1" applyFill="1" applyBorder="1" applyAlignment="1">
      <alignment horizontal="left" indent="2"/>
    </xf>
    <xf numFmtId="168" fontId="29" fillId="8" borderId="2" xfId="0" applyNumberFormat="1" applyFont="1" applyFill="1" applyBorder="1" applyAlignment="1">
      <alignment horizontal="left" indent="4"/>
    </xf>
    <xf numFmtId="168" fontId="29" fillId="7" borderId="2" xfId="0" applyNumberFormat="1" applyFont="1" applyFill="1" applyBorder="1"/>
    <xf numFmtId="168" fontId="29" fillId="8" borderId="2" xfId="0" applyNumberFormat="1" applyFont="1" applyFill="1" applyBorder="1"/>
    <xf numFmtId="168" fontId="19" fillId="8" borderId="2" xfId="0" applyNumberFormat="1" applyFont="1" applyFill="1" applyBorder="1"/>
    <xf numFmtId="168" fontId="23" fillId="8" borderId="2" xfId="0" applyNumberFormat="1" applyFont="1" applyFill="1" applyBorder="1"/>
    <xf numFmtId="168" fontId="19" fillId="7" borderId="2" xfId="0" applyNumberFormat="1" applyFont="1" applyFill="1" applyBorder="1"/>
    <xf numFmtId="168" fontId="23" fillId="8" borderId="30" xfId="0" applyNumberFormat="1" applyFont="1" applyFill="1" applyBorder="1"/>
    <xf numFmtId="194" fontId="29" fillId="8" borderId="0" xfId="0" applyNumberFormat="1" applyFont="1" applyFill="1" applyBorder="1" applyAlignment="1">
      <alignment horizontal="left" indent="3"/>
    </xf>
    <xf numFmtId="194" fontId="29" fillId="7" borderId="0" xfId="0" applyNumberFormat="1" applyFont="1" applyFill="1" applyBorder="1"/>
    <xf numFmtId="194" fontId="29" fillId="8" borderId="0" xfId="0" applyNumberFormat="1" applyFont="1" applyFill="1" applyBorder="1"/>
    <xf numFmtId="194" fontId="29" fillId="8" borderId="29" xfId="0" applyNumberFormat="1" applyFont="1" applyFill="1" applyBorder="1"/>
    <xf numFmtId="194" fontId="19" fillId="8" borderId="0" xfId="0" applyNumberFormat="1" applyFont="1" applyFill="1" applyBorder="1"/>
    <xf numFmtId="194" fontId="19" fillId="0" borderId="0" xfId="0" applyNumberFormat="1" applyFont="1" applyFill="1" applyBorder="1"/>
    <xf numFmtId="167" fontId="21" fillId="8" borderId="31" xfId="0" applyNumberFormat="1" applyFont="1" applyFill="1" applyBorder="1"/>
    <xf numFmtId="194" fontId="30" fillId="8" borderId="0" xfId="2" applyNumberFormat="1" applyFont="1" applyFill="1" applyBorder="1" applyAlignment="1">
      <alignment horizontal="left" indent="2"/>
    </xf>
    <xf numFmtId="167" fontId="1" fillId="8" borderId="0" xfId="2" applyNumberFormat="1" applyFont="1" applyFill="1" applyBorder="1" applyAlignment="1">
      <alignment horizontal="left"/>
    </xf>
    <xf numFmtId="167" fontId="1" fillId="8" borderId="7" xfId="2" applyNumberFormat="1" applyFont="1" applyFill="1" applyBorder="1" applyAlignment="1">
      <alignment horizontal="left"/>
    </xf>
    <xf numFmtId="167" fontId="19" fillId="8" borderId="0" xfId="0" applyNumberFormat="1" applyFont="1" applyFill="1" applyBorder="1" applyAlignment="1">
      <alignment horizontal="left" indent="2"/>
    </xf>
    <xf numFmtId="168" fontId="20" fillId="8" borderId="0" xfId="2" applyNumberFormat="1" applyFont="1" applyFill="1" applyBorder="1" applyAlignment="1">
      <alignment horizontal="left"/>
    </xf>
    <xf numFmtId="168" fontId="20" fillId="8" borderId="0" xfId="2" applyNumberFormat="1" applyFont="1" applyFill="1" applyBorder="1" applyAlignment="1">
      <alignment horizontal="left" indent="3"/>
    </xf>
    <xf numFmtId="168" fontId="30" fillId="8" borderId="7" xfId="2" applyNumberFormat="1" applyFont="1" applyFill="1" applyBorder="1" applyAlignment="1">
      <alignment horizontal="left" indent="1"/>
    </xf>
    <xf numFmtId="168" fontId="29" fillId="8" borderId="7" xfId="0" applyNumberFormat="1" applyFont="1" applyFill="1" applyBorder="1" applyAlignment="1">
      <alignment horizontal="left" indent="3"/>
    </xf>
    <xf numFmtId="168" fontId="29" fillId="7" borderId="7" xfId="0" applyNumberFormat="1" applyFont="1" applyFill="1" applyBorder="1"/>
    <xf numFmtId="168" fontId="29" fillId="8" borderId="7" xfId="0" applyNumberFormat="1" applyFont="1" applyFill="1" applyBorder="1"/>
    <xf numFmtId="168" fontId="29" fillId="8" borderId="31" xfId="0" applyNumberFormat="1" applyFont="1" applyFill="1" applyBorder="1"/>
    <xf numFmtId="168" fontId="29" fillId="8" borderId="0" xfId="0" applyNumberFormat="1" applyFont="1" applyFill="1" applyBorder="1" applyAlignment="1">
      <alignment horizontal="center"/>
    </xf>
    <xf numFmtId="168" fontId="29" fillId="7" borderId="0" xfId="0" applyNumberFormat="1" applyFont="1" applyFill="1" applyBorder="1" applyAlignment="1">
      <alignment horizontal="center"/>
    </xf>
    <xf numFmtId="167" fontId="0" fillId="8" borderId="0" xfId="0" applyNumberFormat="1" applyFont="1" applyFill="1"/>
    <xf numFmtId="167" fontId="0" fillId="0" borderId="0" xfId="0" applyNumberFormat="1" applyFont="1"/>
    <xf numFmtId="167" fontId="29" fillId="8" borderId="0" xfId="0" applyNumberFormat="1" applyFont="1" applyFill="1" applyAlignment="1">
      <alignment horizontal="left" indent="1"/>
    </xf>
    <xf numFmtId="167" fontId="29" fillId="8" borderId="0" xfId="0" applyNumberFormat="1" applyFont="1" applyFill="1" applyAlignment="1">
      <alignment horizontal="left" indent="4"/>
    </xf>
    <xf numFmtId="167" fontId="29" fillId="8" borderId="0" xfId="0" applyNumberFormat="1" applyFont="1" applyFill="1"/>
    <xf numFmtId="167" fontId="29" fillId="7" borderId="0" xfId="0" applyNumberFormat="1" applyFont="1" applyFill="1"/>
    <xf numFmtId="167" fontId="0" fillId="8" borderId="29" xfId="0" applyNumberFormat="1" applyFont="1" applyFill="1" applyBorder="1"/>
    <xf numFmtId="167" fontId="0" fillId="8" borderId="30" xfId="0" applyNumberFormat="1" applyFont="1" applyFill="1" applyBorder="1"/>
    <xf numFmtId="167" fontId="0" fillId="8" borderId="32" xfId="0" applyNumberFormat="1" applyFont="1" applyFill="1" applyBorder="1"/>
    <xf numFmtId="170" fontId="22" fillId="8" borderId="29" xfId="0" applyNumberFormat="1" applyFont="1" applyFill="1" applyBorder="1"/>
    <xf numFmtId="173" fontId="21" fillId="8" borderId="29" xfId="0" applyNumberFormat="1" applyFont="1" applyFill="1" applyBorder="1"/>
    <xf numFmtId="167" fontId="54" fillId="8" borderId="0" xfId="0" applyNumberFormat="1" applyFont="1" applyFill="1" applyBorder="1"/>
    <xf numFmtId="168" fontId="55" fillId="8" borderId="0" xfId="0" applyNumberFormat="1" applyFont="1" applyFill="1" applyBorder="1"/>
    <xf numFmtId="168" fontId="56" fillId="8" borderId="0" xfId="0" applyNumberFormat="1" applyFont="1" applyFill="1" applyBorder="1"/>
    <xf numFmtId="167" fontId="7" fillId="8" borderId="0" xfId="0" applyNumberFormat="1" applyFont="1" applyFill="1"/>
    <xf numFmtId="167" fontId="7" fillId="7" borderId="0" xfId="0" applyNumberFormat="1" applyFont="1" applyFill="1"/>
    <xf numFmtId="167" fontId="7" fillId="7" borderId="0" xfId="0" applyNumberFormat="1" applyFont="1" applyFill="1" applyBorder="1"/>
    <xf numFmtId="167" fontId="7" fillId="7" borderId="7" xfId="0" applyNumberFormat="1" applyFont="1" applyFill="1" applyBorder="1"/>
    <xf numFmtId="167" fontId="7" fillId="7" borderId="2" xfId="0" applyNumberFormat="1" applyFont="1" applyFill="1" applyBorder="1"/>
    <xf numFmtId="168" fontId="7" fillId="7" borderId="0" xfId="0" applyNumberFormat="1" applyFont="1" applyFill="1" applyBorder="1"/>
    <xf numFmtId="168" fontId="50" fillId="7" borderId="0" xfId="0" applyNumberFormat="1" applyFont="1" applyFill="1" applyBorder="1"/>
    <xf numFmtId="167" fontId="54" fillId="7" borderId="0" xfId="0" applyNumberFormat="1" applyFont="1" applyFill="1" applyBorder="1"/>
    <xf numFmtId="168" fontId="12" fillId="7" borderId="0" xfId="0" applyNumberFormat="1" applyFont="1" applyFill="1" applyBorder="1"/>
    <xf numFmtId="173" fontId="7" fillId="7" borderId="0" xfId="0" applyNumberFormat="1" applyFont="1" applyFill="1" applyBorder="1"/>
    <xf numFmtId="196" fontId="12" fillId="7" borderId="0" xfId="0" applyNumberFormat="1" applyFont="1" applyFill="1" applyBorder="1"/>
    <xf numFmtId="168" fontId="12" fillId="7" borderId="0" xfId="0" applyNumberFormat="1" applyFont="1" applyFill="1" applyBorder="1" applyAlignment="1">
      <alignment horizontal="right"/>
    </xf>
    <xf numFmtId="168" fontId="47" fillId="7" borderId="0" xfId="0" applyNumberFormat="1" applyFont="1" applyFill="1" applyBorder="1"/>
    <xf numFmtId="168" fontId="50" fillId="7" borderId="0" xfId="0" applyNumberFormat="1" applyFont="1" applyFill="1" applyBorder="1" applyAlignment="1">
      <alignment horizontal="right"/>
    </xf>
    <xf numFmtId="165" fontId="25" fillId="10" borderId="0" xfId="0" applyNumberFormat="1" applyFont="1" applyFill="1" applyBorder="1"/>
    <xf numFmtId="165" fontId="28" fillId="8" borderId="0" xfId="0" applyNumberFormat="1" applyFont="1" applyFill="1" applyBorder="1"/>
    <xf numFmtId="165" fontId="28" fillId="8" borderId="29" xfId="0" applyNumberFormat="1" applyFont="1" applyFill="1" applyBorder="1"/>
    <xf numFmtId="165" fontId="29" fillId="8" borderId="0" xfId="0" applyNumberFormat="1" applyFont="1" applyFill="1" applyBorder="1"/>
    <xf numFmtId="165" fontId="0" fillId="8" borderId="0" xfId="0" applyNumberFormat="1" applyFont="1" applyFill="1" applyBorder="1"/>
    <xf numFmtId="165" fontId="35" fillId="10" borderId="0" xfId="0" applyNumberFormat="1" applyFont="1" applyFill="1" applyBorder="1"/>
    <xf numFmtId="165" fontId="35" fillId="10" borderId="29" xfId="0" applyNumberFormat="1" applyFont="1" applyFill="1" applyBorder="1"/>
    <xf numFmtId="168" fontId="56" fillId="8" borderId="4" xfId="0" applyNumberFormat="1" applyFont="1" applyFill="1" applyBorder="1"/>
    <xf numFmtId="165" fontId="28" fillId="8" borderId="4" xfId="0" applyNumberFormat="1" applyFont="1" applyFill="1" applyBorder="1"/>
    <xf numFmtId="165" fontId="28" fillId="8" borderId="1" xfId="0" applyNumberFormat="1" applyFont="1" applyFill="1" applyBorder="1"/>
    <xf numFmtId="165" fontId="28" fillId="8" borderId="0" xfId="12" applyNumberFormat="1" applyFont="1" applyFill="1" applyBorder="1"/>
    <xf numFmtId="165" fontId="28" fillId="8" borderId="29" xfId="12" applyNumberFormat="1" applyFont="1" applyFill="1" applyBorder="1"/>
    <xf numFmtId="165" fontId="26" fillId="8" borderId="0" xfId="12" applyNumberFormat="1" applyFont="1" applyFill="1" applyBorder="1"/>
    <xf numFmtId="165" fontId="36" fillId="10" borderId="0" xfId="12" applyNumberFormat="1" applyFont="1" applyFill="1" applyBorder="1"/>
    <xf numFmtId="165" fontId="5" fillId="8" borderId="0" xfId="0" applyNumberFormat="1" applyFont="1" applyFill="1" applyBorder="1"/>
    <xf numFmtId="165" fontId="28" fillId="8" borderId="2" xfId="0" applyNumberFormat="1" applyFont="1" applyFill="1" applyBorder="1"/>
    <xf numFmtId="165" fontId="28" fillId="8" borderId="30" xfId="0" applyNumberFormat="1" applyFont="1" applyFill="1" applyBorder="1"/>
    <xf numFmtId="165" fontId="28" fillId="8" borderId="0" xfId="0" applyNumberFormat="1" applyFont="1" applyFill="1" applyAlignment="1">
      <alignment horizontal="left" indent="4"/>
    </xf>
    <xf numFmtId="165" fontId="0" fillId="8" borderId="0" xfId="0" applyNumberFormat="1" applyFill="1"/>
    <xf numFmtId="165" fontId="0" fillId="0" borderId="0" xfId="0" applyNumberFormat="1"/>
    <xf numFmtId="183" fontId="26" fillId="7" borderId="0" xfId="0" applyNumberFormat="1" applyFont="1" applyFill="1" applyBorder="1"/>
    <xf numFmtId="183" fontId="26" fillId="8" borderId="0" xfId="0" applyNumberFormat="1" applyFont="1" applyFill="1" applyBorder="1"/>
    <xf numFmtId="183" fontId="26" fillId="8" borderId="29" xfId="0" applyNumberFormat="1" applyFont="1" applyFill="1" applyBorder="1"/>
    <xf numFmtId="165" fontId="25" fillId="10" borderId="0" xfId="0" applyNumberFormat="1" applyFont="1" applyFill="1" applyBorder="1"/>
    <xf numFmtId="165" fontId="25" fillId="10" borderId="29" xfId="0" applyNumberFormat="1" applyFont="1" applyFill="1" applyBorder="1"/>
    <xf numFmtId="165" fontId="26" fillId="7" borderId="0" xfId="0" applyNumberFormat="1" applyFont="1" applyFill="1" applyBorder="1"/>
    <xf numFmtId="165" fontId="26" fillId="8" borderId="0" xfId="0" applyNumberFormat="1" applyFont="1" applyFill="1" applyBorder="1"/>
    <xf numFmtId="165" fontId="26" fillId="8" borderId="29" xfId="0" applyNumberFormat="1" applyFont="1" applyFill="1" applyBorder="1"/>
    <xf numFmtId="195" fontId="28" fillId="7" borderId="0" xfId="0" applyNumberFormat="1" applyFont="1" applyFill="1" applyBorder="1"/>
    <xf numFmtId="195" fontId="28" fillId="8" borderId="0" xfId="0" applyNumberFormat="1" applyFont="1" applyFill="1" applyBorder="1"/>
    <xf numFmtId="195" fontId="28" fillId="8" borderId="29" xfId="0" applyNumberFormat="1" applyFont="1" applyFill="1" applyBorder="1"/>
    <xf numFmtId="165" fontId="28" fillId="7" borderId="0" xfId="0" applyNumberFormat="1" applyFont="1" applyFill="1" applyBorder="1"/>
    <xf numFmtId="165" fontId="28" fillId="8" borderId="0" xfId="0" applyNumberFormat="1" applyFont="1" applyFill="1" applyBorder="1"/>
    <xf numFmtId="165" fontId="28" fillId="8" borderId="29" xfId="0" applyNumberFormat="1" applyFont="1" applyFill="1" applyBorder="1"/>
    <xf numFmtId="165" fontId="7" fillId="8" borderId="0" xfId="0" applyNumberFormat="1" applyFont="1" applyFill="1"/>
    <xf numFmtId="165" fontId="28" fillId="7" borderId="0" xfId="0" applyNumberFormat="1" applyFont="1" applyFill="1"/>
    <xf numFmtId="165" fontId="7" fillId="7" borderId="0" xfId="0" applyNumberFormat="1" applyFont="1" applyFill="1"/>
    <xf numFmtId="165" fontId="28" fillId="7" borderId="7" xfId="0" applyNumberFormat="1" applyFont="1" applyFill="1" applyBorder="1"/>
    <xf numFmtId="165" fontId="28" fillId="8" borderId="7" xfId="0" applyNumberFormat="1" applyFont="1" applyFill="1" applyBorder="1"/>
    <xf numFmtId="165" fontId="28" fillId="8" borderId="31" xfId="0" applyNumberFormat="1" applyFont="1" applyFill="1" applyBorder="1"/>
    <xf numFmtId="165" fontId="29" fillId="7" borderId="0" xfId="0" applyNumberFormat="1" applyFont="1" applyFill="1" applyBorder="1"/>
    <xf numFmtId="165" fontId="29" fillId="8" borderId="0" xfId="0" applyNumberFormat="1" applyFont="1" applyFill="1" applyBorder="1"/>
    <xf numFmtId="165" fontId="29" fillId="8" borderId="29" xfId="0" applyNumberFormat="1" applyFont="1" applyFill="1" applyBorder="1"/>
    <xf numFmtId="165" fontId="29" fillId="7" borderId="7" xfId="0" applyNumberFormat="1" applyFont="1" applyFill="1" applyBorder="1"/>
    <xf numFmtId="165" fontId="29" fillId="8" borderId="7" xfId="0" applyNumberFormat="1" applyFont="1" applyFill="1" applyBorder="1"/>
    <xf numFmtId="165" fontId="29" fillId="8" borderId="31" xfId="0" applyNumberFormat="1" applyFont="1" applyFill="1" applyBorder="1"/>
    <xf numFmtId="165" fontId="0" fillId="7" borderId="0" xfId="0" applyNumberFormat="1" applyFont="1" applyFill="1" applyBorder="1"/>
    <xf numFmtId="165" fontId="0" fillId="8" borderId="0" xfId="0" applyNumberFormat="1" applyFont="1" applyFill="1" applyBorder="1"/>
    <xf numFmtId="165" fontId="21" fillId="8" borderId="0" xfId="0" applyNumberFormat="1" applyFont="1" applyFill="1" applyBorder="1"/>
    <xf numFmtId="165" fontId="21" fillId="8" borderId="29" xfId="0" applyNumberFormat="1" applyFont="1" applyFill="1" applyBorder="1"/>
    <xf numFmtId="165" fontId="35" fillId="10" borderId="0" xfId="0" applyNumberFormat="1" applyFont="1" applyFill="1" applyBorder="1"/>
    <xf numFmtId="165" fontId="35" fillId="10" borderId="29" xfId="0" applyNumberFormat="1" applyFont="1" applyFill="1" applyBorder="1"/>
    <xf numFmtId="165" fontId="20" fillId="2" borderId="0" xfId="5" applyNumberFormat="1" applyFont="1" applyFill="1" applyBorder="1" applyAlignment="1">
      <alignment horizontal="right"/>
    </xf>
    <xf numFmtId="165" fontId="20" fillId="2" borderId="29" xfId="5" applyNumberFormat="1" applyFont="1" applyFill="1" applyBorder="1" applyAlignment="1">
      <alignment horizontal="right"/>
    </xf>
    <xf numFmtId="165" fontId="26" fillId="8" borderId="8" xfId="0" applyNumberFormat="1" applyFont="1" applyFill="1" applyBorder="1"/>
    <xf numFmtId="165" fontId="26" fillId="8" borderId="7" xfId="0" applyNumberFormat="1" applyFont="1" applyFill="1" applyBorder="1"/>
    <xf numFmtId="165" fontId="26" fillId="8" borderId="31" xfId="0" applyNumberFormat="1" applyFont="1" applyFill="1" applyBorder="1"/>
    <xf numFmtId="165" fontId="26" fillId="8" borderId="6" xfId="0" applyNumberFormat="1" applyFont="1" applyFill="1" applyBorder="1"/>
    <xf numFmtId="165" fontId="26" fillId="8" borderId="5" xfId="0" applyNumberFormat="1" applyFont="1" applyFill="1" applyBorder="1"/>
    <xf numFmtId="165" fontId="26" fillId="8" borderId="4" xfId="0" applyNumberFormat="1" applyFont="1" applyFill="1" applyBorder="1"/>
    <xf numFmtId="165" fontId="28" fillId="7" borderId="2" xfId="12" applyNumberFormat="1" applyFont="1" applyFill="1" applyBorder="1"/>
    <xf numFmtId="165" fontId="28" fillId="8" borderId="2" xfId="12" applyNumberFormat="1" applyFont="1" applyFill="1" applyBorder="1"/>
    <xf numFmtId="165" fontId="28" fillId="8" borderId="30" xfId="12" applyNumberFormat="1" applyFont="1" applyFill="1" applyBorder="1"/>
    <xf numFmtId="165" fontId="26" fillId="7" borderId="7" xfId="12" applyNumberFormat="1" applyFont="1" applyFill="1" applyBorder="1"/>
    <xf numFmtId="165" fontId="26" fillId="8" borderId="7" xfId="12" applyNumberFormat="1" applyFont="1" applyFill="1" applyBorder="1"/>
    <xf numFmtId="165" fontId="26" fillId="8" borderId="31" xfId="12" applyNumberFormat="1" applyFont="1" applyFill="1" applyBorder="1"/>
    <xf numFmtId="165" fontId="28" fillId="7" borderId="0" xfId="12" applyNumberFormat="1" applyFont="1" applyFill="1" applyBorder="1"/>
    <xf numFmtId="165" fontId="28" fillId="8" borderId="0" xfId="12" applyNumberFormat="1" applyFont="1" applyFill="1" applyBorder="1"/>
    <xf numFmtId="165" fontId="28" fillId="8" borderId="29" xfId="12" applyNumberFormat="1" applyFont="1" applyFill="1" applyBorder="1"/>
    <xf numFmtId="165" fontId="26" fillId="7" borderId="0" xfId="12" applyNumberFormat="1" applyFont="1" applyFill="1" applyBorder="1"/>
    <xf numFmtId="165" fontId="26" fillId="8" borderId="0" xfId="12" applyNumberFormat="1" applyFont="1" applyFill="1" applyBorder="1"/>
    <xf numFmtId="165" fontId="26" fillId="8" borderId="29" xfId="12" applyNumberFormat="1" applyFont="1" applyFill="1" applyBorder="1"/>
    <xf numFmtId="165" fontId="36" fillId="10" borderId="0" xfId="12" applyNumberFormat="1" applyFont="1" applyFill="1" applyBorder="1"/>
    <xf numFmtId="165" fontId="36" fillId="10" borderId="29" xfId="12" applyNumberFormat="1" applyFont="1" applyFill="1" applyBorder="1"/>
    <xf numFmtId="165" fontId="20" fillId="2" borderId="0" xfId="6" applyNumberFormat="1" applyFont="1" applyFill="1" applyBorder="1" applyAlignment="1">
      <alignment horizontal="right"/>
    </xf>
    <xf numFmtId="165" fontId="20" fillId="2" borderId="29" xfId="6" applyNumberFormat="1" applyFont="1" applyFill="1" applyBorder="1" applyAlignment="1">
      <alignment horizontal="right"/>
    </xf>
    <xf numFmtId="165" fontId="5" fillId="7" borderId="0" xfId="0" applyNumberFormat="1" applyFont="1" applyFill="1" applyBorder="1"/>
    <xf numFmtId="165" fontId="5" fillId="8" borderId="0" xfId="0" applyNumberFormat="1" applyFont="1" applyFill="1" applyBorder="1"/>
    <xf numFmtId="165" fontId="22" fillId="8" borderId="0" xfId="0" applyNumberFormat="1" applyFont="1" applyFill="1" applyBorder="1"/>
    <xf numFmtId="165" fontId="28" fillId="7" borderId="2" xfId="0" applyNumberFormat="1" applyFont="1" applyFill="1" applyBorder="1"/>
    <xf numFmtId="165" fontId="28" fillId="8" borderId="2" xfId="0" applyNumberFormat="1" applyFont="1" applyFill="1" applyBorder="1"/>
    <xf numFmtId="165" fontId="0" fillId="8" borderId="2" xfId="0" applyNumberFormat="1" applyFont="1" applyFill="1" applyBorder="1"/>
    <xf numFmtId="165" fontId="21" fillId="8" borderId="2" xfId="0" applyNumberFormat="1" applyFont="1" applyFill="1" applyBorder="1"/>
    <xf numFmtId="165" fontId="0" fillId="7" borderId="2" xfId="0" applyNumberFormat="1" applyFont="1" applyFill="1" applyBorder="1"/>
    <xf numFmtId="165" fontId="28" fillId="8" borderId="30" xfId="0" applyNumberFormat="1" applyFont="1" applyFill="1" applyBorder="1"/>
    <xf numFmtId="165" fontId="26" fillId="7" borderId="7" xfId="0" applyNumberFormat="1" applyFont="1" applyFill="1" applyBorder="1"/>
    <xf numFmtId="165" fontId="5" fillId="7" borderId="7" xfId="0" applyNumberFormat="1" applyFont="1" applyFill="1" applyBorder="1"/>
    <xf numFmtId="165" fontId="5" fillId="8" borderId="7" xfId="0" applyNumberFormat="1" applyFont="1" applyFill="1" applyBorder="1"/>
    <xf numFmtId="165" fontId="22" fillId="8" borderId="7" xfId="0" applyNumberFormat="1" applyFont="1" applyFill="1" applyBorder="1"/>
    <xf numFmtId="165" fontId="0" fillId="7" borderId="7" xfId="0" applyNumberFormat="1" applyFont="1" applyFill="1" applyBorder="1"/>
    <xf numFmtId="165" fontId="0" fillId="8" borderId="7" xfId="0" applyNumberFormat="1" applyFont="1" applyFill="1" applyBorder="1"/>
    <xf numFmtId="165" fontId="21" fillId="8" borderId="7" xfId="0" applyNumberFormat="1" applyFont="1" applyFill="1" applyBorder="1"/>
  </cellXfs>
  <cellStyles count="15">
    <cellStyle name="Currency" xfId="2" builtinId="4"/>
    <cellStyle name="Currency 2" xfId="3" xr:uid="{00000000-0005-0000-0000-000006000000}"/>
    <cellStyle name="Currency 2 2" xfId="4" xr:uid="{00000000-0005-0000-0000-000007000000}"/>
    <cellStyle name="Currency 3" xfId="14" xr:uid="{00000000-0005-0000-0000-000011000000}"/>
    <cellStyle name="Good" xfId="5" builtinId="26"/>
    <cellStyle name="Good 2" xfId="6" xr:uid="{00000000-0005-0000-0000-000009000000}"/>
    <cellStyle name="Hyperlink" xfId="7" builtinId="8"/>
    <cellStyle name="Hyperlink 2" xfId="8" xr:uid="{00000000-0005-0000-0000-00000B000000}"/>
    <cellStyle name="Hyperlink 3" xfId="9" xr:uid="{00000000-0005-0000-0000-00000C000000}"/>
    <cellStyle name="Normal" xfId="0" builtinId="0"/>
    <cellStyle name="Normal 2" xfId="10" xr:uid="{00000000-0005-0000-0000-00000D000000}"/>
    <cellStyle name="Normal 3" xfId="11" xr:uid="{00000000-0005-0000-0000-00000E000000}"/>
    <cellStyle name="Normal 4" xfId="12" xr:uid="{00000000-0005-0000-0000-00000F000000}"/>
    <cellStyle name="Percent" xfId="1" builtinId="5"/>
    <cellStyle name="Percent 2" xfId="13" xr:uid="{00000000-0005-0000-0000-000010000000}"/>
  </cellStyles>
  <dxfs count="11">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ont>
        <color rgb="FFF2F2F2"/>
      </font>
      <fill>
        <patternFill>
          <bgColor rgb="FFF2F2F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pldatasource.trrtdserver">
      <tp t="s">
        <v>Not Signed In</v>
        <stp/>
        <stp>{A7CD4772-6A03-45E7-B305-0D5237EFED43}_x0000_</stp>
        <tr r="BA872" s="2"/>
      </tp>
      <tp t="s">
        <v>Not Signed In</v>
        <stp/>
        <stp>{A372F1D7-F38E-4168-A8FB-572884C047B3}_x0000_</stp>
        <tr r="BC858" s="2"/>
      </tp>
      <tp t="s">
        <v>Not Signed In</v>
        <stp/>
        <stp>{F39FC15A-AAE7-4F9E-8390-AA49366D47D7}_x0000_</stp>
        <tr r="AY872" s="2"/>
      </tp>
      <tp t="s">
        <v>Not Signed In</v>
        <stp/>
        <stp>{014E12B7-893A-4C25-9ECC-7A58E20D8441}_x0000_</stp>
        <tr r="AY865" s="2"/>
      </tp>
      <tp t="s">
        <v>Not Signed In</v>
        <stp/>
        <stp>{474E3B9F-BC5B-435C-8C86-3BF48D2F9B09}_x0000_</stp>
        <tr r="BD858" s="2"/>
      </tp>
      <tp t="s">
        <v>Not Signed In</v>
        <stp/>
        <stp>{30149A60-D1AA-4DAE-860D-D0E962A2E7BD}_x0000_</stp>
        <tr r="AM865" s="2"/>
      </tp>
      <tp t="s">
        <v>Not Signed In</v>
        <stp/>
        <stp>{6669DFAE-BCE5-49BB-BA92-D23B433AAD96}_x0000_</stp>
        <tr r="L872" s="2"/>
      </tp>
      <tp t="s">
        <v>Not Signed In</v>
        <stp/>
        <stp>{1C4DD029-9D2A-4E41-8EF7-3414548031AA}_x0000_</stp>
        <tr r="F858" s="2"/>
      </tp>
      <tp t="s">
        <v>Not Signed In</v>
        <stp/>
        <stp>{291CC22D-E163-4779-B7AB-177712103674}_x0000_</stp>
        <tr r="BE865" s="2"/>
      </tp>
      <tp t="s">
        <v>Not Signed In</v>
        <stp/>
        <stp>{2BAF9ADA-6A1C-4307-BBC7-76E078F1AC41}_x0000_</stp>
        <tr r="BD865" s="2"/>
      </tp>
      <tp t="s">
        <v>Not Signed In</v>
        <stp/>
        <stp>{0293B93D-5D55-4D5A-A56B-E402C444DD16}_x0000_</stp>
        <tr r="AT872" s="2"/>
      </tp>
      <tp t="s">
        <v>Not Signed In</v>
        <stp/>
        <stp>{B4207FE7-B270-431D-9FBC-55C1082E77A9}_x0000_</stp>
        <tr r="Y872" s="2"/>
      </tp>
      <tp t="s">
        <v>Not Signed In</v>
        <stp/>
        <stp>{ED6FFFCA-9022-4D3C-80C4-8BD91FDF35FA}_x0000_</stp>
        <tr r="AE865" s="2"/>
      </tp>
      <tp t="s">
        <v>Not Signed In</v>
        <stp/>
        <stp>{121DF93E-EEC5-4DB1-B253-1937B44F7E8A}_x0000_</stp>
        <tr r="AO872" s="2"/>
      </tp>
      <tp t="s">
        <v>Not Signed In</v>
        <stp/>
        <stp>{C2CF3658-E499-4731-B0CE-AF5E05316C42}_x0000_</stp>
        <tr r="G858" s="2"/>
      </tp>
      <tp t="s">
        <v>Not Signed In</v>
        <stp/>
        <stp>{DC54F6D8-7D4A-4B4E-80FF-209D3BC53F3F}_x0000_</stp>
        <tr r="AL872" s="2"/>
      </tp>
      <tp t="s">
        <v>Not Signed In</v>
        <stp/>
        <stp>{333FF7CF-4A1B-4F01-A25E-A1BC132AB2DF}_x0000_</stp>
        <tr r="M865" s="2"/>
      </tp>
      <tp t="s">
        <v>Not Signed In</v>
        <stp/>
        <stp>{743A20FB-5641-475E-A450-F48231CDE37E}_x0000_</stp>
        <tr r="U865" s="2"/>
      </tp>
      <tp t="s">
        <v>Not Signed In</v>
        <stp/>
        <stp>{DA940748-F52E-4B8B-8B95-FE94B06AA53C}_x0000_</stp>
        <tr r="AA865" s="2"/>
      </tp>
      <tp t="s">
        <v>Not Signed In</v>
        <stp/>
        <stp>{00D50306-80FE-4543-B3AA-80972BDEB672}_x0000_</stp>
        <tr r="R858" s="2"/>
      </tp>
      <tp t="s">
        <v>Not Signed In</v>
        <stp/>
        <stp>{51CF44CF-6B64-44C0-A072-6B0256379DF5}_x0000_</stp>
        <tr r="Z872" s="2"/>
      </tp>
      <tp t="s">
        <v>Not Signed In</v>
        <stp/>
        <stp>{736265B3-73BC-41BB-BCCA-A7463C7A7A94}_x0000_</stp>
        <tr r="AL865" s="2"/>
      </tp>
      <tp t="s">
        <v>Not Signed In</v>
        <stp/>
        <stp>{45716C36-E3E6-4AC7-A394-CAF409170E42}_x0000_</stp>
        <tr r="AF858" s="2"/>
      </tp>
      <tp t="s">
        <v>Not Signed In</v>
        <stp/>
        <stp>{13EEC432-C074-4FA5-80CA-BCBF3748BC93}_x0000_</stp>
        <tr r="R865" s="2"/>
      </tp>
      <tp t="s">
        <v>Not Signed In</v>
        <stp/>
        <stp>{E1713994-B367-46E2-84AE-F11F728844E3}_x0000_</stp>
        <tr r="BC865" s="2"/>
      </tp>
      <tp t="s">
        <v>Not Signed In</v>
        <stp/>
        <stp>{AC5B1209-3BDD-4568-AEB2-4D2335811E99}_x0000_</stp>
        <tr r="BD872" s="2"/>
      </tp>
      <tp t="s">
        <v>Not Signed In</v>
        <stp/>
        <stp>{A21F9EF1-175D-4C0C-A70F-F6D71E1F3E7A}_x0000_</stp>
        <tr r="J865" s="2"/>
      </tp>
      <tp t="s">
        <v>Not Signed In</v>
        <stp/>
        <stp>{6A0C8B2F-658B-4211-9FC3-39EA258CA43D}_x0000_</stp>
        <tr r="V858" s="2"/>
      </tp>
      <tp t="s">
        <v>Not Signed In</v>
        <stp/>
        <stp>{463A568B-2CE5-4336-AD60-E8CCBE00A5F7}_x0000_</stp>
        <tr r="BG865" s="2"/>
      </tp>
      <tp t="s">
        <v>Not Signed In</v>
        <stp/>
        <stp>{1F1BD5CE-46A7-45C0-8101-F9AAEA69804C}_x0000_</stp>
        <tr r="AV872" s="2"/>
      </tp>
      <tp t="s">
        <v>Not Signed In</v>
        <stp/>
        <stp>{4E522803-9B3A-4E03-BDC2-CA9B5F103D66}_x0000_</stp>
        <tr r="AW865" s="2"/>
      </tp>
      <tp t="s">
        <v>Not Signed In</v>
        <stp/>
        <stp>{D1AC0298-13DA-4A25-825E-8275A0646AC6}_x0000_</stp>
        <tr r="AI858" s="2"/>
      </tp>
      <tp t="s">
        <v>Not Signed In</v>
        <stp/>
        <stp>{8181665D-00C8-428E-A31E-639ADFE7447B}_x0000_</stp>
        <tr r="AZ865" s="2"/>
      </tp>
      <tp t="s">
        <v>Not Signed In</v>
        <stp/>
        <stp>{D107FD1B-060A-4CE9-8831-77118F58606F}_x0000_</stp>
        <tr r="AT858" s="2"/>
      </tp>
      <tp t="s">
        <v>Not Signed In</v>
        <stp/>
        <stp>{DB0EFA9F-6C71-40B6-BF44-2CA7785965B9}_x0000_</stp>
        <tr r="X872" s="2"/>
      </tp>
      <tp t="s">
        <v>Not Signed In</v>
        <stp/>
        <stp>{9F979857-28BA-45BA-BD88-712CA21B342E}_x0000_</stp>
        <tr r="AR865" s="2"/>
      </tp>
      <tp t="s">
        <v>Not Signed In</v>
        <stp/>
        <stp>{E919A10E-DCFF-4452-AA6F-752107273F68}_x0000_</stp>
        <tr r="X858" s="2"/>
      </tp>
      <tp t="s">
        <v>Not Signed In</v>
        <stp/>
        <stp>{AFC65305-8B51-4E5F-A8A9-96BE06A4AB92}_x0000_</stp>
        <tr r="AQ865" s="2"/>
      </tp>
      <tp t="s">
        <v>Not Signed In</v>
        <stp/>
        <stp>{F49398BA-E074-4640-9AEE-E439CF077E05}_x0000_</stp>
        <tr r="AS872" s="2"/>
      </tp>
      <tp t="s">
        <v>Not Signed In</v>
        <stp/>
        <stp>{AF545874-966F-41A8-9EB7-A8ADFFD38D78}_x0000_</stp>
        <tr r="BF858" s="2"/>
      </tp>
      <tp t="s">
        <v>Not Signed In</v>
        <stp/>
        <stp>{9BB83762-8055-4AB7-BDFC-28169B5CE367}_x0000_</stp>
        <tr r="E858" s="2"/>
      </tp>
      <tp t="s">
        <v>Not Signed In</v>
        <stp/>
        <stp>{5F7029BE-7407-404D-AB7C-7F55D58905EF}_x0000_</stp>
        <tr r="G872" s="2"/>
      </tp>
      <tp t="s">
        <v>Not Signed In</v>
        <stp/>
        <stp>{EB883363-B113-423C-A8D2-0B1C01BBFD96}_x0000_</stp>
        <tr r="AO858" s="2"/>
      </tp>
      <tp t="s">
        <v>Not Signed In</v>
        <stp/>
        <stp>{0C856D31-5D15-4200-84D9-18FE8DC5F000}_x0000_</stp>
        <tr r="N858" s="2"/>
      </tp>
      <tp t="s">
        <v>Not Signed In</v>
        <stp/>
        <stp>{511AFE83-4883-437C-89EF-BCC76C688051}_x0000_</stp>
        <tr r="BE872" s="2"/>
      </tp>
      <tp t="s">
        <v>Not Signed In</v>
        <stp/>
        <stp>{C941F2A9-F0FA-4A3F-937F-63B9630FDFF6}_x0000_</stp>
        <tr r="AE872" s="2"/>
      </tp>
      <tp t="s">
        <v>Not Signed In</v>
        <stp/>
        <stp>{7F64CA92-5314-46A0-9012-E641B66BA827}_x0000_</stp>
        <tr r="K865" s="2"/>
      </tp>
      <tp t="s">
        <v>Not Signed In</v>
        <stp/>
        <stp>{084A0710-17B2-46D2-BD5B-BFA86EE23FE1}_x0000_</stp>
        <tr r="P865" s="2"/>
      </tp>
      <tp t="s">
        <v>Not Signed In</v>
        <stp/>
        <stp>{BBBD42C7-8D0B-4DA3-A191-70FED469E08F}_x0000_</stp>
        <tr r="BF865" s="2"/>
      </tp>
      <tp t="s">
        <v>Not Signed In</v>
        <stp/>
        <stp>{14ECC43D-D70B-447D-BB3F-D09FA8DB3C99}_x0000_</stp>
        <tr r="AG865" s="2"/>
      </tp>
      <tp t="s">
        <v>Not Signed In</v>
        <stp/>
        <stp>{C7E246A2-BC12-4983-B638-16FD758FC5B4}_x0000_</stp>
        <tr r="N865" s="2"/>
      </tp>
      <tp t="s">
        <v>Not Signed In</v>
        <stp/>
        <stp>{4FE89205-A5F7-4C2C-A931-EC60F9D4ED60}_x0000_</stp>
        <tr r="BA865" s="2"/>
      </tp>
      <tp t="s">
        <v>Not Signed In</v>
        <stp/>
        <stp>{0D02A9E3-29C1-4683-A0F9-6E24855D79F8}_x0000_</stp>
        <tr r="J858" s="2"/>
      </tp>
      <tp t="s">
        <v>Not Signed In</v>
        <stp/>
        <stp>{7CCD897B-23C1-4ADA-9BDE-743F225C21DE}_x0000_</stp>
        <tr r="C858" s="2"/>
      </tp>
      <tp t="s">
        <v>Not Signed In</v>
        <stp/>
        <stp>{DC2DD3CB-2DDA-4F1C-888F-1D50EBF466CE}_x0000_</stp>
        <tr r="AA858" s="2"/>
      </tp>
      <tp t="s">
        <v>Not Signed In</v>
        <stp/>
        <stp>{27824C6D-C1F7-46B2-8F81-4282CD83428E}_x0000_</stp>
        <tr r="D865" s="2"/>
      </tp>
      <tp t="s">
        <v>Not Signed In</v>
        <stp/>
        <stp>{A2E5E835-2176-4EC8-95AD-2BF33AF116F3}_x0000_</stp>
        <tr r="Q865" s="2"/>
      </tp>
      <tp t="s">
        <v>Not Signed In</v>
        <stp/>
        <stp>{C2CB0F8A-F9A1-4907-8E5D-15C468851268}_x0000_</stp>
        <tr r="AF865" s="2"/>
      </tp>
      <tp t="s">
        <v>Not Signed In</v>
        <stp/>
        <stp>{25AD98A6-16B0-442F-94CB-A403C32F0262}_x0000_</stp>
        <tr r="Z858" s="2"/>
      </tp>
      <tp t="s">
        <v>Not Signed In</v>
        <stp/>
        <stp>{5EB1FB79-3D36-465F-AAFC-08C6A8075DC6}_x0000_</stp>
        <tr r="AK865" s="2"/>
      </tp>
      <tp t="s">
        <v>Not Signed In</v>
        <stp/>
        <stp>{C77C092C-576B-4811-A408-50C9C0450378}_x0000_</stp>
        <tr r="V872" s="2"/>
      </tp>
      <tp t="s">
        <v>Not Signed In</v>
        <stp/>
        <stp>{A281BA59-B650-4CEC-B105-57A830391B7F}_x0000_</stp>
        <tr r="M858" s="2"/>
      </tp>
      <tp t="s">
        <v>Not Signed In</v>
        <stp/>
        <stp>{2BC3D6D1-350C-445D-A24A-54D5E4F928F0}_x0000_</stp>
        <tr r="AJ872" s="2"/>
      </tp>
      <tp t="s">
        <v>Not Signed In</v>
        <stp/>
        <stp>{707CAE85-7885-4AFA-A1DB-E7E26AA36674}_x0000_</stp>
        <tr r="AO865" s="2"/>
      </tp>
      <tp t="s">
        <v>Not Signed In</v>
        <stp/>
        <stp>{0A796B07-94AE-410C-BC16-C19E89321640}_x0000_</stp>
        <tr r="N872" s="2"/>
      </tp>
      <tp t="s">
        <v>Not Signed In</v>
        <stp/>
        <stp>{54ACE063-44B3-4E97-A19F-4176F9890A9B}_x0000_</stp>
        <tr r="AV865" s="2"/>
      </tp>
      <tp t="s">
        <v>Not Signed In</v>
        <stp/>
        <stp>{43942A87-0313-43C0-9029-3B5B6D554C87}_x0000_</stp>
        <tr r="O858" s="2"/>
      </tp>
      <tp t="s">
        <v>Not Signed In</v>
        <stp/>
        <stp>{F4B91F49-73A3-423D-9359-779D69B3529E}_x0000_</stp>
        <tr r="AG872" s="2"/>
      </tp>
      <tp t="s">
        <v>Not Signed In</v>
        <stp/>
        <stp>{FEB1335A-BE13-4669-9EE6-8650374DC4CB}_x0000_</stp>
        <tr r="P858" s="2"/>
      </tp>
      <tp t="s">
        <v>Not Signed In</v>
        <stp/>
        <stp>{98207BC3-F296-4218-B93D-19809F56A3B4}_x0000_</stp>
        <tr r="O872" s="2"/>
      </tp>
      <tp t="s">
        <v>Not Signed In</v>
        <stp/>
        <stp>{F73A1F88-E344-4EF1-8166-866AC869DFD0}_x0000_</stp>
        <tr r="S858" s="2"/>
      </tp>
      <tp t="s">
        <v>Not Signed In</v>
        <stp/>
        <stp>{DBE57F89-BFB7-44DA-A993-688EA21EF4FC}_x0000_</stp>
        <tr r="AW858" s="2"/>
      </tp>
      <tp t="s">
        <v>Not Signed In</v>
        <stp/>
        <stp>{AEBA2FF6-498F-464C-967B-04196BA1BB91}_x0000_</stp>
        <tr r="D872" s="2"/>
      </tp>
      <tp t="s">
        <v>Not Signed In</v>
        <stp/>
        <stp>{439BB792-F3AD-4540-AD6A-97AA279D79F9}_x0000_</stp>
        <tr r="AU872" s="2"/>
      </tp>
      <tp t="s">
        <v>Not Signed In</v>
        <stp/>
        <stp>{9D40E66B-8891-442C-AD07-7676ED13E74B}_x0000_</stp>
        <tr r="U872" s="2"/>
      </tp>
      <tp t="s">
        <v>Not Signed In</v>
        <stp/>
        <stp>{6F894A21-B014-4616-9B7B-6B96C87BE4CD}_x0000_</stp>
        <tr r="AF872" s="2"/>
      </tp>
      <tp t="s">
        <v>Not Signed In</v>
        <stp/>
        <stp>{74BCBD6E-9B96-4BCB-A721-AF05DD374818}_x0000_</stp>
        <tr r="C872" s="2"/>
      </tp>
      <tp t="s">
        <v>Not Signed In</v>
        <stp/>
        <stp>{FC788A2C-8F4A-4260-BC8B-ABDD9408118E}_x0000_</stp>
        <tr r="T858" s="2"/>
      </tp>
      <tp t="s">
        <v>Not Signed In</v>
        <stp/>
        <stp>{B6568853-D715-4F37-A78A-9C73F4B191F7}_x0000_</stp>
        <tr r="AR872" s="2"/>
      </tp>
      <tp t="s">
        <v>Not Signed In</v>
        <stp/>
        <stp>{04CE4084-C00F-40CA-B36A-B557BA27D9C4}_x0000_</stp>
        <tr r="AJ858" s="2"/>
      </tp>
      <tp t="s">
        <v>Not Signed In</v>
        <stp/>
        <stp>{0901A917-2F1A-452E-A736-10BFA43A4D6C}_x0000_</stp>
        <tr r="AT865" s="2"/>
      </tp>
      <tp t="s">
        <v>Not Signed In</v>
        <stp/>
        <stp>{B9610585-8EC6-4C96-8364-A566A9086125}_x0000_</stp>
        <tr r="P872" s="2"/>
      </tp>
      <tp t="s">
        <v>Not Signed In</v>
        <stp/>
        <stp>{4B8768C7-E448-47CC-8763-9BB9F5856F80}_x0000_</stp>
        <tr r="Z865" s="2"/>
      </tp>
      <tp t="s">
        <v>Not Signed In</v>
        <stp/>
        <stp>{B414D474-9614-4E02-AE5D-18FE49FCFAE4}_x0000_</stp>
        <tr r="X865" s="2"/>
      </tp>
      <tp t="s">
        <v>Not Signed In</v>
        <stp/>
        <stp>{6CFE7EFF-46B1-47B0-9E0E-8B381DB163DA}_x0000_</stp>
        <tr r="F865" s="2"/>
      </tp>
      <tp t="s">
        <v>Not Signed In</v>
        <stp/>
        <stp>{606339A4-53F1-41DC-A451-17E0EB8AFFFD}_x0000_</stp>
        <tr r="BB872" s="2"/>
      </tp>
      <tp t="s">
        <v>Not Signed In</v>
        <stp/>
        <stp>{A2C2DEE6-1511-4EB5-BF98-FEA34CD10EF4}_x0000_</stp>
        <tr r="K872" s="2"/>
      </tp>
      <tp t="s">
        <v>Not Signed In</v>
        <stp/>
        <stp>{59E80383-51A9-4F83-9C34-86F2419A54BB}_x0000_</stp>
        <tr r="BB858" s="2"/>
      </tp>
      <tp t="s">
        <v>Not Signed In</v>
        <stp/>
        <stp>{8F60C69F-04A9-44AE-AB96-B0DE58DA26FB}_x0000_</stp>
        <tr r="AS858" s="2"/>
      </tp>
      <tp t="s">
        <v>Not Signed In</v>
        <stp/>
        <stp>{55224911-D96C-4BB7-A3AA-2C0277296DA9}_x0000_</stp>
        <tr r="BG872" s="2"/>
      </tp>
      <tp t="s">
        <v>Not Signed In</v>
        <stp/>
        <stp>{31023DD3-3DD0-4FEF-938C-48380CBBC9AD}_x0000_</stp>
        <tr r="M872" s="2"/>
      </tp>
      <tp t="s">
        <v>Not Signed In</v>
        <stp/>
        <stp>{9D4F057C-0E17-4409-9FD3-E9551EE11329}_x0000_</stp>
        <tr r="W858" s="2"/>
      </tp>
      <tp t="s">
        <v>Not Signed In</v>
        <stp/>
        <stp>{7332AEBB-E526-4A14-B591-890E5B4BB39B}_x0000_</stp>
        <tr r="AB872" s="2"/>
      </tp>
      <tp t="s">
        <v>Not Signed In</v>
        <stp/>
        <stp>{6C5E8E2A-7E17-4BB5-AFA3-E70E4D8E1983}_x0000_</stp>
        <tr r="AE858" s="2"/>
      </tp>
      <tp t="s">
        <v>Not Signed In</v>
        <stp/>
        <stp>{7C1D3373-5EBA-4F34-938A-1F191F7A8AA7}_x0000_</stp>
        <tr r="H858" s="2"/>
      </tp>
      <tp t="s">
        <v>Not Signed In</v>
        <stp/>
        <stp>{271CB7C6-8A7A-4D7F-ADFC-F1E72D1B1567}_x0000_</stp>
        <tr r="AL858" s="2"/>
      </tp>
      <tp t="s">
        <v>Not Signed In</v>
        <stp/>
        <stp>{4F9AAFE0-0F34-470F-B01B-4C46C6044C70}_x0000_</stp>
        <tr r="AX865" s="2"/>
      </tp>
      <tp t="s">
        <v>Not Signed In</v>
        <stp/>
        <stp>{5C599E10-9F50-401C-8DE3-5870A48947F8}_x0000_</stp>
        <tr r="AP865" s="2"/>
      </tp>
      <tp t="s">
        <v>Not Signed In</v>
        <stp/>
        <stp>{7660464E-2B6A-4A6E-9ED4-5D12A93913A2}_x0000_</stp>
        <tr r="AU865" s="2"/>
      </tp>
      <tp t="s">
        <v>Not Signed In</v>
        <stp/>
        <stp>{41B66DB7-E117-4675-B066-2A9B439EA02A}_x0000_</stp>
        <tr r="AD872" s="2"/>
      </tp>
      <tp t="s">
        <v>Not Signed In</v>
        <stp/>
        <stp>{F3B43945-C3B1-47D0-B638-FDFB37DE6923}_x0000_</stp>
        <tr r="AN865" s="2"/>
      </tp>
      <tp t="s">
        <v>Not Signed In</v>
        <stp/>
        <stp>{D581D1E5-E0EF-4243-84CC-63C3D828A96B}_x0000_</stp>
        <tr r="W865" s="2"/>
      </tp>
      <tp t="s">
        <v>Not Signed In</v>
        <stp/>
        <stp>{8C96E6F4-01AC-4118-A5D8-9CF4F36441A1}_x0000_</stp>
        <tr r="AC858" s="2"/>
      </tp>
      <tp t="s">
        <v>Not Signed In</v>
        <stp/>
        <stp>{B828E349-3B2F-4322-BCB6-168B9B2AB2EC}_x0000_</stp>
        <tr r="R872" s="2"/>
      </tp>
      <tp t="s">
        <v>Not Signed In</v>
        <stp/>
        <stp>{E6915C50-B2B1-4138-AC0A-99A187885208}_x0000_</stp>
        <tr r="AG858" s="2"/>
      </tp>
      <tp t="s">
        <v>Not Signed In</v>
        <stp/>
        <stp>{D17A2630-06B1-4EC7-9EBD-F5F9BE9DE0D0}_x0000_</stp>
        <tr r="AI865" s="2"/>
      </tp>
      <tp t="s">
        <v>Not Signed In</v>
        <stp/>
        <stp>{E7DAFF7C-3322-4355-9CB4-8CA62827CFC9}_x0000_</stp>
        <tr r="AC872" s="2"/>
      </tp>
      <tp t="s">
        <v>Not Signed In</v>
        <stp/>
        <stp>{D5DA769A-43E5-4725-ACAD-4C3F68BFA9B0}_x0000_</stp>
        <tr r="AP872" s="2"/>
      </tp>
      <tp t="s">
        <v>Not Signed In</v>
        <stp/>
        <stp>{684FDE0C-F151-4249-BCD9-A40EEDD1EC97}_x0000_</stp>
        <tr r="S865" s="2"/>
      </tp>
      <tp t="s">
        <v>Not Signed In</v>
        <stp/>
        <stp>{E5C7EA25-B3B3-49D2-9466-D6434501A8DA}_x0000_</stp>
        <tr r="AV858" s="2"/>
      </tp>
      <tp t="s">
        <v>Not Signed In</v>
        <stp/>
        <stp>{8FBF614D-712C-45CD-BE28-A0D4B8CF51F6}_x0000_</stp>
        <tr r="I858" s="2"/>
      </tp>
      <tp t="s">
        <v>Not Signed In</v>
        <stp/>
        <stp>{D99FB8AA-DDB6-4FBF-A2BF-C1AB51B06AE3}_x0000_</stp>
        <tr r="AN858" s="2"/>
      </tp>
      <tp t="s">
        <v>Not Signed In</v>
        <stp/>
        <stp>{8FB2BF06-C29F-40FE-9262-FEEF585D24F5}_x0000_</stp>
        <tr r="AM872" s="2"/>
      </tp>
      <tp t="s">
        <v>Not Signed In</v>
        <stp/>
        <stp>{17ACFEDB-0B4F-44F7-8031-C0E36D9374B9}_x0000_</stp>
        <tr r="AU858" s="2"/>
      </tp>
      <tp t="s">
        <v>Not Signed In</v>
        <stp/>
        <stp>{F5BC98F4-51B4-41EB-B4C5-D5C7A68E08A4}_x0000_</stp>
        <tr r="AB858" s="2"/>
      </tp>
      <tp t="s">
        <v>Not Signed In</v>
        <stp/>
        <stp>{A24DBA44-46A7-4515-ABB3-12147E0D3194}_x0000_</stp>
        <tr r="AY858" s="2"/>
      </tp>
      <tp t="s">
        <v>Not Signed In</v>
        <stp/>
        <stp>{DE55AF0B-B645-436C-A280-1D8BBF1350DA}_x0000_</stp>
        <tr r="Y865" s="2"/>
      </tp>
      <tp t="s">
        <v>Not Signed In</v>
        <stp/>
        <stp>{AD63D1DF-83C6-467E-9DF2-6046CE48F306}_x0000_</stp>
        <tr r="F872" s="2"/>
      </tp>
      <tp t="s">
        <v>Not Signed In</v>
        <stp/>
        <stp>{1DB9820A-9F69-4065-9D4A-DCBA4346C251}_x0000_</stp>
        <tr r="AR858" s="2"/>
      </tp>
      <tp t="s">
        <v>Not Signed In</v>
        <stp/>
        <stp>{4D738659-2BF0-4017-B987-9BA0D8473BB8}_x0000_</stp>
        <tr r="D858" s="2"/>
      </tp>
      <tp t="s">
        <v>Not Signed In</v>
        <stp/>
        <stp>{FDA02F6C-766C-4476-BB3D-4FB70EB4DAC1}_x0000_</stp>
        <tr r="L858" s="2"/>
      </tp>
      <tp t="s">
        <v>Not Signed In</v>
        <stp/>
        <stp>{5CE74E58-81D2-4274-9A67-79AAB7E8F237}_x0000_</stp>
        <tr r="AZ858" s="2"/>
      </tp>
      <tp t="s">
        <v>Not Signed In</v>
        <stp/>
        <stp>{12FBBD65-1ECC-4DD1-A794-612E923B94B8}_x0000_</stp>
        <tr r="T872" s="2"/>
      </tp>
      <tp t="s">
        <v>Not Signed In</v>
        <stp/>
        <stp>{2043FF7B-1F01-4DC0-9D6D-1614E5B5EF93}_x0000_</stp>
        <tr r="O865" s="2"/>
      </tp>
      <tp t="s">
        <v>Not Signed In</v>
        <stp/>
        <stp>{24DC47C5-2ACD-4ED9-8ECD-89CE65831270}_x0000_</stp>
        <tr r="AC865" s="2"/>
      </tp>
      <tp t="s">
        <v>Not Signed In</v>
        <stp/>
        <stp>{F6F22EB7-1090-4B66-BDF6-BC3D5F6F80A0}_x0000_</stp>
        <tr r="AQ858" s="2"/>
      </tp>
      <tp t="s">
        <v>Not Signed In</v>
        <stp/>
        <stp>{4FB3CC51-60A5-405E-896A-D9DD5CB6F777}_x0000_</stp>
        <tr r="H865" s="2"/>
      </tp>
      <tp t="s">
        <v>Not Signed In</v>
        <stp/>
        <stp>{C0A98D30-20D1-4835-9A29-845431F7505A}_x0000_</stp>
        <tr r="H872" s="2"/>
      </tp>
      <tp t="s">
        <v>Not Signed In</v>
        <stp/>
        <stp>{335BDF18-5823-4839-AD09-734B05C8062E}_x0000_</stp>
        <tr r="BE858" s="2"/>
      </tp>
      <tp t="s">
        <v>Not Signed In</v>
        <stp/>
        <stp>{B45C356E-4CB9-4FDA-86AF-3564405A95DA}_x0000_</stp>
        <tr r="AK858" s="2"/>
      </tp>
      <tp t="s">
        <v>Not Signed In</v>
        <stp/>
        <stp>{BAE42640-78E5-4D3D-93AC-418A4461E0BB}_x0000_</stp>
        <tr r="AK872" s="2"/>
      </tp>
      <tp t="s">
        <v>Not Signed In</v>
        <stp/>
        <stp>{14D962A6-A767-41C0-BE80-5F63079BDE24}_x0000_</stp>
        <tr r="AQ872" s="2"/>
      </tp>
      <tp t="s">
        <v>Not Signed In</v>
        <stp/>
        <stp>{181A50CA-C399-4C40-AD2C-99FE353AD350}_x0000_</stp>
        <tr r="AA872" s="2"/>
      </tp>
      <tp t="s">
        <v>Not Signed In</v>
        <stp/>
        <stp>{1E280775-736B-42C2-BCA8-A52B85367CD0}_x0000_</stp>
        <tr r="AM858" s="2"/>
      </tp>
      <tp t="s">
        <v>Not Signed In</v>
        <stp/>
        <stp>{3E9D0328-3B40-4F79-A9E4-593FD6F734F2}_x0000_</stp>
        <tr r="K858" s="2"/>
      </tp>
      <tp t="s">
        <v>Not Signed In</v>
        <stp/>
        <stp>{BFED8712-BA76-4A4D-BD0C-E67968FB7645}_x0000_</stp>
        <tr r="BF872" s="2"/>
      </tp>
      <tp t="s">
        <v>Not Signed In</v>
        <stp/>
        <stp>{6845C29D-7E5A-4CF4-84A7-09D1F3F368F1}_x0000_</stp>
        <tr r="AD865" s="2"/>
      </tp>
      <tp t="s">
        <v>Not Signed In</v>
        <stp/>
        <stp>{EDAB22ED-00C4-4B2F-8DC4-A9E104B6E394}_x0000_</stp>
        <tr r="AS865" s="2"/>
      </tp>
      <tp t="s">
        <v>Not Signed In</v>
        <stp/>
        <stp>{C8C0873B-38E1-4C2A-A6E5-EE84B879DFA4}_x0000_</stp>
        <tr r="AJ865" s="2"/>
      </tp>
      <tp t="s">
        <v>Not Signed In</v>
        <stp/>
        <stp>{CAF3296E-4C6C-4198-95E8-78B649BEC286}_x0000_</stp>
        <tr r="BG858" s="2"/>
      </tp>
      <tp t="s">
        <v>Not Signed In</v>
        <stp/>
        <stp>{888B2150-94FE-429A-9827-6E623A1B370B}_x0000_</stp>
        <tr r="I865" s="2"/>
      </tp>
      <tp t="s">
        <v>Not Signed In</v>
        <stp/>
        <stp>{53E3E590-2842-4A56-871C-36BFC1347FE1}_x0000_</stp>
        <tr r="U858" s="2"/>
      </tp>
      <tp t="s">
        <v>Not Signed In</v>
        <stp/>
        <stp>{4C8B8224-E84F-4F9D-9D33-F4D7E4AB079E}_x0000_</stp>
        <tr r="C865" s="2"/>
      </tp>
      <tp t="s">
        <v>Not Signed In</v>
        <stp/>
        <stp>{CBB07433-E999-46F9-B8DB-D0BCA4D43754}_x0000_</stp>
        <tr r="W872" s="2"/>
      </tp>
      <tp t="s">
        <v>Not Signed In</v>
        <stp/>
        <stp>{E3D1E312-3A99-4FDA-99DF-D7D8557D7694}_x0000_</stp>
        <tr r="Q858" s="2"/>
      </tp>
      <tp t="s">
        <v>Not Signed In</v>
        <stp/>
        <stp>{35B5D291-8E76-42F8-B3FF-A8FFC9506D38}_x0000_</stp>
        <tr r="AH865" s="2"/>
      </tp>
      <tp t="s">
        <v>Not Signed In</v>
        <stp/>
        <stp>{FBED1360-D27F-437A-89BD-60C2B8D478CD}_x0000_</stp>
        <tr r="AB865" s="2"/>
      </tp>
      <tp t="s">
        <v>Not Signed In</v>
        <stp/>
        <stp>{E7D27218-7D2B-49C2-990E-D1C2E3CC132C}_x0000_</stp>
        <tr r="BB865" s="2"/>
      </tp>
      <tp t="s">
        <v>Not Signed In</v>
        <stp/>
        <stp>{C44205B2-E000-4B09-8869-692D6CB609C2}_x0000_</stp>
        <tr r="AX872" s="2"/>
      </tp>
      <tp t="s">
        <v>Not Signed In</v>
        <stp/>
        <stp>{F9AF6E52-80E2-45D9-832E-664B2F1C2F37}_x0000_</stp>
        <tr r="AN872" s="2"/>
      </tp>
      <tp t="s">
        <v>Not Signed In</v>
        <stp/>
        <stp>{6AB9F914-61E0-4F75-BFB7-E610789DC722}_x0000_</stp>
        <tr r="T865" s="2"/>
      </tp>
      <tp t="s">
        <v>Not Signed In</v>
        <stp/>
        <stp>{73A93239-1C71-4D3D-8251-5FDB99A19D52}_x0000_</stp>
        <tr r="AH858" s="2"/>
      </tp>
      <tp t="s">
        <v>Not Signed In</v>
        <stp/>
        <stp>{7B3F1F5A-D97F-429D-BE7C-4C2852F66D9D}_x0000_</stp>
        <tr r="AH872" s="2"/>
      </tp>
      <tp t="s">
        <v>Not Signed In</v>
        <stp/>
        <stp>{8B346638-623F-4099-B42B-BAEF60AAFFBA}_x0000_</stp>
        <tr r="AX858" s="2"/>
      </tp>
      <tp t="s">
        <v>Not Signed In</v>
        <stp/>
        <stp>{0B392C8C-77A1-465D-A88E-92353D96A8CD}_x0000_</stp>
        <tr r="AD858" s="2"/>
      </tp>
      <tp t="s">
        <v>Not Signed In</v>
        <stp/>
        <stp>{79ACEA12-0B60-4D21-9E3A-AFCC7314031F}_x0000_</stp>
        <tr r="E865" s="2"/>
      </tp>
      <tp t="s">
        <v>Not Signed In</v>
        <stp/>
        <stp>{9AF0591B-5947-494D-B1EA-C00B26CC2197}_x0000_</stp>
        <tr r="Q872" s="2"/>
      </tp>
      <tp t="s">
        <v>Not Signed In</v>
        <stp/>
        <stp>{B5AB7FBF-FE99-44FF-9B64-B713A03809E0}_x0000_</stp>
        <tr r="AI872" s="2"/>
      </tp>
      <tp t="s">
        <v>Not Signed In</v>
        <stp/>
        <stp>{4FC335B5-0984-4EB1-8B3D-88C15BCAFCC8}_x0000_</stp>
        <tr r="AW872" s="2"/>
      </tp>
      <tp t="s">
        <v>Not Signed In</v>
        <stp/>
        <stp>{B5EF4BC5-A083-4F51-BE00-11BBEA909B46}_x0000_</stp>
        <tr r="S872" s="2"/>
      </tp>
      <tp t="s">
        <v>Not Signed In</v>
        <stp/>
        <stp>{42E55C95-6351-4DD2-9E3B-144B36495AF8}_x0000_</stp>
        <tr r="E872" s="2"/>
      </tp>
      <tp t="s">
        <v>Not Signed In</v>
        <stp/>
        <stp>{A15B3CC6-B1FC-4FBC-8349-D2EE409672A4}_x0000_</stp>
        <tr r="G865" s="2"/>
      </tp>
      <tp t="s">
        <v>Not Signed In</v>
        <stp/>
        <stp>{124613AE-6C60-431F-9A90-B65DA35BF07B}_x0000_</stp>
        <tr r="AP858" s="2"/>
      </tp>
      <tp t="s">
        <v>Not Signed In</v>
        <stp/>
        <stp>{888B8F92-4F76-41CE-9872-A8FC592329C4}_x0000_</stp>
        <tr r="BA858" s="2"/>
      </tp>
      <tp t="s">
        <v>Not Signed In</v>
        <stp/>
        <stp>{051DE37E-FEDA-4A01-9B9B-C667571170A3}_x0000_</stp>
        <tr r="L865" s="2"/>
      </tp>
      <tp t="s">
        <v>Not Signed In</v>
        <stp/>
        <stp>{2E42C38C-7714-42B4-9F3C-4B23637ECAD5}_x0000_</stp>
        <tr r="V865" s="2"/>
      </tp>
      <tp t="s">
        <v>Not Signed In</v>
        <stp/>
        <stp>{63FE95A5-2678-440F-9C04-8731703AFBB2}_x0000_</stp>
        <tr r="BC872" s="2"/>
      </tp>
      <tp t="s">
        <v>Not Signed In</v>
        <stp/>
        <stp>{FB8C7C46-A702-493C-A3EF-7CB6192D3A6F}_x0000_</stp>
        <tr r="AZ872" s="2"/>
      </tp>
      <tp t="s">
        <v>Not Signed In</v>
        <stp/>
        <stp>{50D6E1E0-FB13-440D-96EC-7C5D4D923FEE}_x0000_</stp>
        <tr r="J872" s="2"/>
      </tp>
      <tp t="s">
        <v>Not Signed In</v>
        <stp/>
        <stp>{A3B1893D-5FDD-489C-85F9-72E09931F1A9}_x0000_</stp>
        <tr r="I872" s="2"/>
      </tp>
      <tp t="s">
        <v>Not Signed In</v>
        <stp/>
        <stp>{23591A3A-427A-4DBE-978E-3FA595980486}_x0000_</stp>
        <tr r="Y858" s="2"/>
      </tp>
    </main>
  </volType>
</volTypes>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volatileDependencies" Target="volatileDependencie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152400</xdr:rowOff>
    </xdr:from>
    <xdr:ext cx="2352675" cy="904875"/>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stretch>
          <a:fillRect/>
        </a:stretch>
      </xdr:blipFill>
      <xdr:spPr bwMode="auto">
        <a:xfrm>
          <a:off x="571500" y="533400"/>
          <a:ext cx="2352675" cy="904875"/>
        </a:xfrm>
        <a:prstGeom prst="rect">
          <a:avLst/>
        </a:prstGeom>
        <a:noFill/>
        <a:ln>
          <a:noFill/>
        </a:ln>
      </xdr:spPr>
    </xdr:pic>
    <xdr:clientData/>
  </xdr:oneCellAnchor>
  <xdr:oneCellAnchor>
    <xdr:from>
      <xdr:col>16</xdr:col>
      <xdr:colOff>304800</xdr:colOff>
      <xdr:row>40</xdr:row>
      <xdr:rowOff>38100</xdr:rowOff>
    </xdr:from>
    <xdr:ext cx="333375" cy="371475"/>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13839825" y="8534400"/>
          <a:ext cx="333375" cy="3714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304800</xdr:colOff>
      <xdr:row>2</xdr:row>
      <xdr:rowOff>85725</xdr:rowOff>
    </xdr:from>
    <xdr:ext cx="2390775" cy="914400"/>
    <xdr:pic>
      <xdr:nvPicPr>
        <xdr:cNvPr id="5" name="Picture 4">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stretch>
          <a:fillRect/>
        </a:stretch>
      </xdr:blipFill>
      <xdr:spPr bwMode="auto">
        <a:xfrm>
          <a:off x="600075" y="466725"/>
          <a:ext cx="2390775" cy="914400"/>
        </a:xfrm>
        <a:prstGeom prst="rect">
          <a:avLst/>
        </a:prstGeom>
        <a:noFill/>
        <a:ln>
          <a:noFill/>
        </a:ln>
      </xdr:spPr>
    </xdr:pic>
    <xdr:clientData/>
  </xdr:oneCellAnchor>
  <xdr:oneCellAnchor>
    <xdr:from>
      <xdr:col>8</xdr:col>
      <xdr:colOff>228600</xdr:colOff>
      <xdr:row>46</xdr:row>
      <xdr:rowOff>9525</xdr:rowOff>
    </xdr:from>
    <xdr:ext cx="342900" cy="381000"/>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2"/>
        <a:stretch>
          <a:fillRect/>
        </a:stretch>
      </xdr:blipFill>
      <xdr:spPr>
        <a:xfrm>
          <a:off x="11668125" y="8820150"/>
          <a:ext cx="342900" cy="38100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upport@canalyst.com?subject=Canalyst%20Support:%20Tesla,%20Inc.%20TSLA%20US&amp;body=Model%20Version:%20Q1-2019.25" TargetMode="External"/><Relationship Id="rId1" Type="http://schemas.openxmlformats.org/officeDocument/2006/relationships/hyperlink" Target="mailto:support@canalyst.com?subject=Canalyst%20Support:%20Tesla,%20Inc.%20TSLA%20US&amp;body=Model%20Version:%20FY2018.22"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ir.tesla.co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files.shareholder.com/downloads/ABEA-4CW8X0/6252046071x0x979026/44C49236-1FC2-4FD9-80B1-495ED74E4194/TSLA_Update_Letter_2018-1Q.pdf" TargetMode="External"/><Relationship Id="rId18" Type="http://schemas.openxmlformats.org/officeDocument/2006/relationships/hyperlink" Target="http://files.shareholder.com/downloads/ABEA-4CW8X0/6045098292x0x970775/34923C55-6853-4223-ADDA-CB3CDC1B919F/TSLA_Update_Letter_2017-4Q.pdf" TargetMode="External"/><Relationship Id="rId26" Type="http://schemas.openxmlformats.org/officeDocument/2006/relationships/hyperlink" Target="https://ir.tesla.com/static-files/b2218d34-fbee-4f1f-ac95-050eb29dd42f" TargetMode="External"/><Relationship Id="rId39" Type="http://schemas.openxmlformats.org/officeDocument/2006/relationships/hyperlink" Target="https://www.sec.gov/ix?doc=/Archives/edgar/data/1318605/000156459020033670/tsla-10q_20200630.htm" TargetMode="External"/><Relationship Id="rId21" Type="http://schemas.openxmlformats.org/officeDocument/2006/relationships/hyperlink" Target="http://ir.tesla.com/static-files/7235e525-db16-470c-8dce-9ecac0ad7712" TargetMode="External"/><Relationship Id="rId34" Type="http://schemas.openxmlformats.org/officeDocument/2006/relationships/hyperlink" Target="https://ir.tesla.com/static-files/bbc6e137-897a-4543-857a-59c5c2dbeadc" TargetMode="External"/><Relationship Id="rId42" Type="http://schemas.openxmlformats.org/officeDocument/2006/relationships/hyperlink" Target="https://www.sec.gov/Archives/edgar/data/1318605/000156459020047486/tsla-10q_20200930.htm" TargetMode="External"/><Relationship Id="rId47" Type="http://schemas.openxmlformats.org/officeDocument/2006/relationships/hyperlink" Target="https://www.sec.gov/Archives/edgar/data/1318605/000156459021004599/tsla-10k_20201231.htm" TargetMode="External"/><Relationship Id="rId50" Type="http://schemas.openxmlformats.org/officeDocument/2006/relationships/hyperlink" Target="https://www.sec.gov/ix?doc=/Archives/edgar/data/1318605/000095017021000046/tsla-20210331.htm" TargetMode="External"/><Relationship Id="rId55" Type="http://schemas.openxmlformats.org/officeDocument/2006/relationships/hyperlink" Target="https://www.sec.gov/Archives/edgar/data/1318605/000095017021000524/tsla-20210630.htm" TargetMode="External"/><Relationship Id="rId7" Type="http://schemas.openxmlformats.org/officeDocument/2006/relationships/hyperlink" Target="http://ir.tesla.com/static-files/7235e525-db16-470c-8dce-9ecac0ad7712" TargetMode="External"/><Relationship Id="rId2" Type="http://schemas.openxmlformats.org/officeDocument/2006/relationships/hyperlink" Target="http://ir.tesla.com/static-files/0b913415-467d-4c0d-be4c-9225c2cb0ae0" TargetMode="External"/><Relationship Id="rId16" Type="http://schemas.openxmlformats.org/officeDocument/2006/relationships/hyperlink" Target="http://files.shareholder.com/downloads/ABEA-4CW8X0/6045098292x0x970775/34923C55-6853-4223-ADDA-CB3CDC1B919F/TSLA_Update_Letter_2017-4Q.pdf" TargetMode="External"/><Relationship Id="rId29" Type="http://schemas.openxmlformats.org/officeDocument/2006/relationships/hyperlink" Target="https://ir.tesla.com/static-files/1e70a30c-20a7-48b3-a1f6-696a7c517959" TargetMode="External"/><Relationship Id="rId11" Type="http://schemas.openxmlformats.org/officeDocument/2006/relationships/hyperlink" Target="http://ir.tesla.com/static-files/7235e525-db16-470c-8dce-9ecac0ad7712" TargetMode="External"/><Relationship Id="rId24" Type="http://schemas.openxmlformats.org/officeDocument/2006/relationships/hyperlink" Target="https://ir.tesla.com/static-files/b2218d34-fbee-4f1f-ac95-050eb29dd42f" TargetMode="External"/><Relationship Id="rId32" Type="http://schemas.openxmlformats.org/officeDocument/2006/relationships/hyperlink" Target="https://ir.tesla.com/static-files/b3cf7f5e-546a-4a65-9888-c928b914b529" TargetMode="External"/><Relationship Id="rId37" Type="http://schemas.openxmlformats.org/officeDocument/2006/relationships/hyperlink" Target="https://ir.tesla.com/static-files/f41f4254-f1cc-4929-a0b6-6623b00475a6" TargetMode="External"/><Relationship Id="rId40" Type="http://schemas.openxmlformats.org/officeDocument/2006/relationships/hyperlink" Target="https://www.sec.gov/ix?doc=/Archives/edgar/data/1318605/000156459020033670/tsla-10q_20200630.htm" TargetMode="External"/><Relationship Id="rId45" Type="http://schemas.openxmlformats.org/officeDocument/2006/relationships/hyperlink" Target="https://www.sec.gov/Archives/edgar/data/1318605/000156459021004599/tsla-10k_20201231.htm" TargetMode="External"/><Relationship Id="rId53" Type="http://schemas.openxmlformats.org/officeDocument/2006/relationships/hyperlink" Target="https://www.sec.gov/ix?doc=/Archives/edgar/data/1318605/000095017021000046/tsla-20210331.htm" TargetMode="External"/><Relationship Id="rId58" Type="http://schemas.openxmlformats.org/officeDocument/2006/relationships/hyperlink" Target="https://www.sec.gov/ix?doc=/Archives/edgar/data/0001318605/000095017021002253/tsla-20210930.htm" TargetMode="External"/><Relationship Id="rId5" Type="http://schemas.openxmlformats.org/officeDocument/2006/relationships/hyperlink" Target="http://ir.tesla.com/static-files/725970e6-eda5-47ab-96e1-422d4045f799" TargetMode="External"/><Relationship Id="rId61" Type="http://schemas.openxmlformats.org/officeDocument/2006/relationships/comments" Target="../comments3.xml"/><Relationship Id="rId19" Type="http://schemas.openxmlformats.org/officeDocument/2006/relationships/hyperlink" Target="http://files.shareholder.com/downloads/ABEA-4CW8X0/6045098292x0x970775/34923C55-6853-4223-ADDA-CB3CDC1B919F/TSLA_Update_Letter_2017-4Q.pdf" TargetMode="External"/><Relationship Id="rId14" Type="http://schemas.openxmlformats.org/officeDocument/2006/relationships/hyperlink" Target="https://www.sec.gov/Archives/edgar/data/1318605/000156459018010306/tsla-ex991_7.htm" TargetMode="External"/><Relationship Id="rId22" Type="http://schemas.openxmlformats.org/officeDocument/2006/relationships/hyperlink" Target="https://ir.tesla.com/static-files/b2218d34-fbee-4f1f-ac95-050eb29dd42f" TargetMode="External"/><Relationship Id="rId27" Type="http://schemas.openxmlformats.org/officeDocument/2006/relationships/hyperlink" Target="https://ir.tesla.com/static-files/b2218d34-fbee-4f1f-ac95-050eb29dd42f" TargetMode="External"/><Relationship Id="rId30" Type="http://schemas.openxmlformats.org/officeDocument/2006/relationships/hyperlink" Target="https://ir.tesla.com/static-files/47313d21-3cac-4f69-9497-d161bce15da4" TargetMode="External"/><Relationship Id="rId35" Type="http://schemas.openxmlformats.org/officeDocument/2006/relationships/hyperlink" Target="https://ir.tesla.com/static-files/bbc6e137-897a-4543-857a-59c5c2dbeadc" TargetMode="External"/><Relationship Id="rId43" Type="http://schemas.openxmlformats.org/officeDocument/2006/relationships/hyperlink" Target="https://www.sec.gov/Archives/edgar/data/1318605/000156459020047486/tsla-10q_20200930.htm" TargetMode="External"/><Relationship Id="rId48" Type="http://schemas.openxmlformats.org/officeDocument/2006/relationships/hyperlink" Target="https://tesla-cdn.thron.com/static/R3GJMT_TSLA_Q1_2021_Update_5KJWZA.pdf" TargetMode="External"/><Relationship Id="rId56" Type="http://schemas.openxmlformats.org/officeDocument/2006/relationships/hyperlink" Target="https://tesla-cdn.thron.com/static/TWPKBV_TSLA_Q3_2021_Quarterly_Update_SI1AKE.pdf?xseo=&amp;response-content-disposition=inline%3Bfilename%3D%22TSLA-Q3-2021-Quarterly-Update.pdf%22" TargetMode="External"/><Relationship Id="rId8" Type="http://schemas.openxmlformats.org/officeDocument/2006/relationships/hyperlink" Target="http://files.shareholder.com/downloads/ABEA-4CW8X0/6252046071x0x979026/44C49236-1FC2-4FD9-80B1-495ED74E4194/TSLA_Update_Letter_2018-1Q.pdf" TargetMode="External"/><Relationship Id="rId51" Type="http://schemas.openxmlformats.org/officeDocument/2006/relationships/hyperlink" Target="https://www.sec.gov/ix?doc=/Archives/edgar/data/1318605/000095017021000046/tsla-20210331.htm" TargetMode="External"/><Relationship Id="rId3" Type="http://schemas.openxmlformats.org/officeDocument/2006/relationships/hyperlink" Target="http://ir.tesla.com/static-files/0b913415-467d-4c0d-be4c-9225c2cb0ae0" TargetMode="External"/><Relationship Id="rId12" Type="http://schemas.openxmlformats.org/officeDocument/2006/relationships/hyperlink" Target="http://files.shareholder.com/downloads/ABEA-4CW8X0/6252046071x0x979026/44C49236-1FC2-4FD9-80B1-495ED74E4194/TSLA_Update_Letter_2018-1Q.pdf" TargetMode="External"/><Relationship Id="rId17" Type="http://schemas.openxmlformats.org/officeDocument/2006/relationships/hyperlink" Target="http://files.shareholder.com/downloads/ABEA-4CW8X0/6045098292x0x970775/34923C55-6853-4223-ADDA-CB3CDC1B919F/TSLA_Update_Letter_2017-4Q.pdf" TargetMode="External"/><Relationship Id="rId25" Type="http://schemas.openxmlformats.org/officeDocument/2006/relationships/hyperlink" Target="https://ir.tesla.com/static-files/b2218d34-fbee-4f1f-ac95-050eb29dd42f" TargetMode="External"/><Relationship Id="rId33" Type="http://schemas.openxmlformats.org/officeDocument/2006/relationships/hyperlink" Target="https://ir.tesla.com/static-files/b3cf7f5e-546a-4a65-9888-c928b914b529" TargetMode="External"/><Relationship Id="rId38" Type="http://schemas.openxmlformats.org/officeDocument/2006/relationships/hyperlink" Target="https://www.sec.gov/ix?doc=/Archives/edgar/data/1318605/000156459020033670/tsla-10q_20200630.htm" TargetMode="External"/><Relationship Id="rId46" Type="http://schemas.openxmlformats.org/officeDocument/2006/relationships/hyperlink" Target="https://www.sec.gov/Archives/edgar/data/1318605/000156459021004599/tsla-10k_20201231.htm" TargetMode="External"/><Relationship Id="rId59" Type="http://schemas.openxmlformats.org/officeDocument/2006/relationships/hyperlink" Target="https://www.sec.gov/ix?doc=/Archives/edgar/data/0001318605/000095017021002253/tsla-20210930.htm" TargetMode="External"/><Relationship Id="rId20" Type="http://schemas.openxmlformats.org/officeDocument/2006/relationships/hyperlink" Target="http://ir.tesla.com/static-files/7235e525-db16-470c-8dce-9ecac0ad7712" TargetMode="External"/><Relationship Id="rId41" Type="http://schemas.openxmlformats.org/officeDocument/2006/relationships/hyperlink" Target="https://tesla-cdn.thron.com/static/4E7BR9_TSLA_Q3_2020_Update_P0Q85U.pdf?xseo=&amp;response-content-disposition=inline%3Bfilename%3D%22TSLA-Q3-2020-Update.pdf%22" TargetMode="External"/><Relationship Id="rId54" Type="http://schemas.openxmlformats.org/officeDocument/2006/relationships/hyperlink" Target="https://www.sec.gov/Archives/edgar/data/1318605/000095017021000524/tsla-20210630.htm" TargetMode="External"/><Relationship Id="rId1" Type="http://schemas.openxmlformats.org/officeDocument/2006/relationships/hyperlink" Target="https://ir.tesla.com/static-files/b2218d34-fbee-4f1f-ac95-050eb29dd42f" TargetMode="External"/><Relationship Id="rId6" Type="http://schemas.openxmlformats.org/officeDocument/2006/relationships/hyperlink" Target="http://ir.tesla.com/static-files/725970e6-eda5-47ab-96e1-422d4045f799" TargetMode="External"/><Relationship Id="rId15" Type="http://schemas.openxmlformats.org/officeDocument/2006/relationships/hyperlink" Target="http://files.shareholder.com/downloads/ABEA-4CW8X0/6045098292x0x970775/34923C55-6853-4223-ADDA-CB3CDC1B919F/TSLA_Update_Letter_2017-4Q.pdf" TargetMode="External"/><Relationship Id="rId23" Type="http://schemas.openxmlformats.org/officeDocument/2006/relationships/hyperlink" Target="https://ir.tesla.com/static-files/b2218d34-fbee-4f1f-ac95-050eb29dd42f" TargetMode="External"/><Relationship Id="rId28" Type="http://schemas.openxmlformats.org/officeDocument/2006/relationships/hyperlink" Target="https://ir.tesla.com/static-files/1e70a30c-20a7-48b3-a1f6-696a7c517959" TargetMode="External"/><Relationship Id="rId36" Type="http://schemas.openxmlformats.org/officeDocument/2006/relationships/hyperlink" Target="https://ir.tesla.com/static-files/bbc6e137-897a-4543-857a-59c5c2dbeadc" TargetMode="External"/><Relationship Id="rId49" Type="http://schemas.openxmlformats.org/officeDocument/2006/relationships/hyperlink" Target="https://www.sec.gov/ix?doc=/Archives/edgar/data/1318605/000095017021000046/tsla-20210331.htm" TargetMode="External"/><Relationship Id="rId57" Type="http://schemas.openxmlformats.org/officeDocument/2006/relationships/hyperlink" Target="https://www.sec.gov/ix?doc=/Archives/edgar/data/0001318605/000095017021002253/tsla-20210930.htm" TargetMode="External"/><Relationship Id="rId10" Type="http://schemas.openxmlformats.org/officeDocument/2006/relationships/hyperlink" Target="http://ir.tesla.com/static-files/7235e525-db16-470c-8dce-9ecac0ad7712" TargetMode="External"/><Relationship Id="rId31" Type="http://schemas.openxmlformats.org/officeDocument/2006/relationships/hyperlink" Target="https://ir.tesla.com/static-files/b3cf7f5e-546a-4a65-9888-c928b914b529" TargetMode="External"/><Relationship Id="rId44" Type="http://schemas.openxmlformats.org/officeDocument/2006/relationships/hyperlink" Target="https://www.sec.gov/Archives/edgar/data/1318605/000156459020047486/tsla-10q_20200930.htm" TargetMode="External"/><Relationship Id="rId52" Type="http://schemas.openxmlformats.org/officeDocument/2006/relationships/hyperlink" Target="https://tesla-cdn.thron.com/static/ZBOUYO_TSLA_Q2_2021_Update_DJCVNJ.pdf?xseo=&amp;response-content-disposition=inline%3Bfilename%3D%22q2_2021.pdf%22" TargetMode="External"/><Relationship Id="rId60" Type="http://schemas.openxmlformats.org/officeDocument/2006/relationships/vmlDrawing" Target="../drawings/vmlDrawing3.vml"/><Relationship Id="rId4" Type="http://schemas.openxmlformats.org/officeDocument/2006/relationships/hyperlink" Target="http://ir.tesla.com/static-files/0b913415-467d-4c0d-be4c-9225c2cb0ae0" TargetMode="External"/><Relationship Id="rId9" Type="http://schemas.openxmlformats.org/officeDocument/2006/relationships/hyperlink" Target="http://ir.tesla.com/static-files/7235e525-db16-470c-8dce-9ecac0ad7712"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ir.tesla.com/news-releases/news-release-details/tesla-releases-first-quarter-2019-financial-results" TargetMode="External"/><Relationship Id="rId18" Type="http://schemas.openxmlformats.org/officeDocument/2006/relationships/hyperlink" Target="https://ir.tesla.com/static-files/b3cf7f5e-546a-4a65-9888-c928b914b529" TargetMode="External"/><Relationship Id="rId26" Type="http://schemas.openxmlformats.org/officeDocument/2006/relationships/hyperlink" Target="https://tesla-cdn.thron.com/static/1LRLZK_2020_Q4_Quarterly_Update_Deck_-_Searchable_LVA2GL.pdf?xseo=&amp;response-content-disposition=inline%3Bfilename%3D%22TSLA-Q4-2020-Update.pdf%22" TargetMode="External"/><Relationship Id="rId3" Type="http://schemas.openxmlformats.org/officeDocument/2006/relationships/hyperlink" Target="http://ir.tesla.com/static-files/725970e6-eda5-47ab-96e1-422d4045f799" TargetMode="External"/><Relationship Id="rId21" Type="http://schemas.openxmlformats.org/officeDocument/2006/relationships/hyperlink" Target="https://ir.tesla.com/static-files/f41f4254-f1cc-4929-a0b6-6623b00475a6" TargetMode="External"/><Relationship Id="rId34" Type="http://schemas.openxmlformats.org/officeDocument/2006/relationships/drawing" Target="../drawings/drawing2.xml"/><Relationship Id="rId7" Type="http://schemas.openxmlformats.org/officeDocument/2006/relationships/hyperlink" Target="https://www.sec.gov/Archives/edgar/data/1318605/000156459017020822/tsla-ex991_6.htm" TargetMode="External"/><Relationship Id="rId12" Type="http://schemas.openxmlformats.org/officeDocument/2006/relationships/hyperlink" Target="https://ir.tesla.com/static-files/b2218d34-fbee-4f1f-ac95-050eb29dd42f" TargetMode="External"/><Relationship Id="rId17" Type="http://schemas.openxmlformats.org/officeDocument/2006/relationships/hyperlink" Target="https://ir.tesla.com/static-files/485fe736-4930-4a09-af78-bd22fb29156d" TargetMode="External"/><Relationship Id="rId25" Type="http://schemas.openxmlformats.org/officeDocument/2006/relationships/hyperlink" Target="https://tesla-cdn.thron.com/static/4E7BR9_TSLA_Q3_2020_Update_P0Q85U.pdf?xseo=&amp;response-content-disposition=inline%3Bfilename%3D%22TSLA-Q3-2020-Update.pdf%22" TargetMode="External"/><Relationship Id="rId33" Type="http://schemas.openxmlformats.org/officeDocument/2006/relationships/hyperlink" Target="https://tesla-cdn.thron.com/static/TWPKBV_TSLA_Q3_2021_Quarterly_Update_SI1AKE.pdf?xseo=&amp;response-content-disposition=inline%3Bfilename%3D%22TSLA-Q3-2021-Quarterly-Update.pdf%22" TargetMode="External"/><Relationship Id="rId2" Type="http://schemas.openxmlformats.org/officeDocument/2006/relationships/hyperlink" Target="http://ir.tesla.com/static-files/0b913415-467d-4c0d-be4c-9225c2cb0ae0" TargetMode="External"/><Relationship Id="rId16" Type="http://schemas.openxmlformats.org/officeDocument/2006/relationships/hyperlink" Target="https://ir.tesla.com/static-files/47313d21-3cac-4f69-9497-d161bce15da4" TargetMode="External"/><Relationship Id="rId20" Type="http://schemas.openxmlformats.org/officeDocument/2006/relationships/hyperlink" Target="https://ir.tesla.com/static-files/c1723af4-ffda-4881-ae12-b6f3c972b795" TargetMode="External"/><Relationship Id="rId29" Type="http://schemas.openxmlformats.org/officeDocument/2006/relationships/hyperlink" Target="https://tesla-cdn.thron.com/static/R3GJMT_TSLA_Q1_2021_Update_5KJWZA.pdf" TargetMode="External"/><Relationship Id="rId1" Type="http://schemas.openxmlformats.org/officeDocument/2006/relationships/hyperlink" Target="http://ir.tesla.com/static-files/0b913415-467d-4c0d-be4c-9225c2cb0ae0" TargetMode="External"/><Relationship Id="rId6" Type="http://schemas.openxmlformats.org/officeDocument/2006/relationships/hyperlink" Target="http://files.shareholder.com/downloads/ABEA-4CW8X0/6045098292x0x970775/34923C55-6853-4223-ADDA-CB3CDC1B919F/TSLA_Update_Letter_2017-4Q.pdf" TargetMode="External"/><Relationship Id="rId11" Type="http://schemas.openxmlformats.org/officeDocument/2006/relationships/hyperlink" Target="http://files.shareholder.com/downloads/ABEA-4CW8X0/3385341287x0x913801/F9E5C36A-AFDD-4FF2-A375-ED9B0F912622/Q3_16_Update_Letter_-_final.pdf" TargetMode="External"/><Relationship Id="rId24" Type="http://schemas.openxmlformats.org/officeDocument/2006/relationships/hyperlink" Target="https://tesla-cdn.thron.com/static/4E7BR9_TSLA_Q3_2020_Update_P0Q85U.pdf?xseo=&amp;response-content-disposition=inline%3Bfilename%3D%22TSLA-Q3-2020-Update.pdf%22" TargetMode="External"/><Relationship Id="rId32" Type="http://schemas.openxmlformats.org/officeDocument/2006/relationships/hyperlink" Target="https://tesla-cdn.thron.com/static/TWPKBV_TSLA_Q3_2021_Quarterly_Update_SI1AKE.pdf?xseo=&amp;response-content-disposition=inline%3Bfilename%3D%22TSLA-Q3-2021-Quarterly-Update.pdf%22" TargetMode="External"/><Relationship Id="rId5" Type="http://schemas.openxmlformats.org/officeDocument/2006/relationships/hyperlink" Target="http://files.shareholder.com/downloads/ABEA-4CW8X0/6252046071x0x979026/44C49236-1FC2-4FD9-80B1-495ED74E4194/TSLA_Update_Letter_2018-1Q.pdf" TargetMode="External"/><Relationship Id="rId15" Type="http://schemas.openxmlformats.org/officeDocument/2006/relationships/hyperlink" Target="https://ir.tesla.com/static-files/1e70a30c-20a7-48b3-a1f6-696a7c517959" TargetMode="External"/><Relationship Id="rId23" Type="http://schemas.openxmlformats.org/officeDocument/2006/relationships/hyperlink" Target="https://ir.tesla.com/static-files/f41f4254-f1cc-4929-a0b6-6623b00475a6" TargetMode="External"/><Relationship Id="rId28" Type="http://schemas.openxmlformats.org/officeDocument/2006/relationships/hyperlink" Target="https://tesla-cdn.thron.com/static/R3GJMT_TSLA_Q1_2021_Update_5KJWZA.pdf" TargetMode="External"/><Relationship Id="rId10" Type="http://schemas.openxmlformats.org/officeDocument/2006/relationships/hyperlink" Target="http://files.shareholder.com/downloads/ABEA-4CW8X0/3959075020x0x929284/22C29259-6C19-41AC-9CAB-899D148F323D/TSLA_Update_Letter_2016_4Q.pdf" TargetMode="External"/><Relationship Id="rId19" Type="http://schemas.openxmlformats.org/officeDocument/2006/relationships/hyperlink" Target="https://ir.tesla.com/static-files/b3cf7f5e-546a-4a65-9888-c928b914b529" TargetMode="External"/><Relationship Id="rId31" Type="http://schemas.openxmlformats.org/officeDocument/2006/relationships/hyperlink" Target="https://ir.tesla.com/press-release/tesla-q2-2021-vehicle-production-deliveries" TargetMode="External"/><Relationship Id="rId4" Type="http://schemas.openxmlformats.org/officeDocument/2006/relationships/hyperlink" Target="http://ir.tesla.com/static-files/7235e525-db16-470c-8dce-9ecac0ad7712" TargetMode="External"/><Relationship Id="rId9" Type="http://schemas.openxmlformats.org/officeDocument/2006/relationships/hyperlink" Target="http://files.shareholder.com/downloads/ABEA-4CW8X0/4502930613x0x940721/8E9FC98F-343C-4D2E-8516-491DEFB9B69B/TSLA_Q1_2017_Update_Letter.pdf" TargetMode="External"/><Relationship Id="rId14" Type="http://schemas.openxmlformats.org/officeDocument/2006/relationships/hyperlink" Target="https://ir.tesla.com/static-files/1e70a30c-20a7-48b3-a1f6-696a7c517959" TargetMode="External"/><Relationship Id="rId22" Type="http://schemas.openxmlformats.org/officeDocument/2006/relationships/hyperlink" Target="https://ir.tesla.com/static-files/c1723af4-ffda-4881-ae12-b6f3c972b795" TargetMode="External"/><Relationship Id="rId27" Type="http://schemas.openxmlformats.org/officeDocument/2006/relationships/hyperlink" Target="https://tesla-cdn.thron.com/static/1LRLZK_2020_Q4_Quarterly_Update_Deck_-_Searchable_LVA2GL.pdf?xseo=&amp;response-content-disposition=inline%3Bfilename%3D%22TSLA-Q4-2020-Update.pdf%22" TargetMode="External"/><Relationship Id="rId30" Type="http://schemas.openxmlformats.org/officeDocument/2006/relationships/hyperlink" Target="https://tesla-cdn.thron.com/static/ZBOUYO_TSLA_Q2_2021_Update_DJCVNJ.pdf?xseo=&amp;response-content-disposition=inline%3Bfilename%3D%22q2_2021.pdf%22" TargetMode="External"/><Relationship Id="rId8" Type="http://schemas.openxmlformats.org/officeDocument/2006/relationships/hyperlink" Target="http://files.shareholder.com/downloads/ABEA-4CW8X0/4952043359x0x952053/F302D22F-FC9B-41A3-9534-60D0032673CC/TSLA_Update_Letter_2017-2Q.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B2:W57"/>
  <sheetViews>
    <sheetView showGridLines="0" tabSelected="1" zoomScaleNormal="100" zoomScaleSheetLayoutView="100" zoomScalePageLayoutView="97" workbookViewId="0"/>
  </sheetViews>
  <sheetFormatPr defaultColWidth="8.85546875" defaultRowHeight="15" x14ac:dyDescent="0.25"/>
  <cols>
    <col min="1" max="1" width="5.7109375" style="258" customWidth="1"/>
    <col min="2" max="2" width="7.85546875" style="258" customWidth="1"/>
    <col min="3" max="3" width="10.28515625" style="258" customWidth="1"/>
    <col min="4" max="4" width="13.7109375" style="258" customWidth="1"/>
    <col min="5" max="5" width="5.42578125" style="258" customWidth="1"/>
    <col min="6" max="6" width="13.7109375" style="258" customWidth="1"/>
    <col min="7" max="7" width="6.85546875" style="258" customWidth="1"/>
    <col min="8" max="8" width="31.7109375" style="258" customWidth="1"/>
    <col min="9" max="15" width="8.85546875" style="258" customWidth="1"/>
    <col min="16" max="16" width="45.7109375" style="258" customWidth="1"/>
    <col min="17" max="22" width="8.85546875" style="258" customWidth="1"/>
    <col min="23" max="16384" width="8.85546875" style="258"/>
  </cols>
  <sheetData>
    <row r="2" spans="2:17" x14ac:dyDescent="0.25">
      <c r="B2" s="66"/>
      <c r="C2" s="66"/>
      <c r="D2" s="66"/>
      <c r="E2" s="66"/>
      <c r="F2" s="46"/>
      <c r="G2" s="46"/>
      <c r="H2" s="46"/>
      <c r="I2" s="46"/>
      <c r="J2" s="46"/>
      <c r="K2" s="46"/>
      <c r="L2" s="46"/>
      <c r="M2" s="46"/>
      <c r="N2" s="46"/>
      <c r="O2" s="46"/>
      <c r="P2" s="46"/>
      <c r="Q2" s="46"/>
    </row>
    <row r="3" spans="2:17" x14ac:dyDescent="0.25">
      <c r="B3" s="66"/>
      <c r="C3" s="66"/>
      <c r="D3" s="66"/>
      <c r="E3" s="66"/>
      <c r="F3" s="46"/>
      <c r="G3" s="46"/>
      <c r="H3" s="46"/>
      <c r="I3" s="46"/>
      <c r="J3" s="46"/>
      <c r="K3" s="46"/>
      <c r="L3" s="46"/>
      <c r="M3" s="46"/>
      <c r="N3" s="46"/>
      <c r="O3" s="46"/>
      <c r="P3" s="46"/>
      <c r="Q3" s="46"/>
    </row>
    <row r="4" spans="2:17" x14ac:dyDescent="0.25">
      <c r="B4" s="66"/>
      <c r="C4" s="66"/>
      <c r="D4" s="66"/>
      <c r="E4" s="66"/>
      <c r="F4" s="46"/>
      <c r="G4" s="46"/>
      <c r="H4" s="46"/>
      <c r="I4" s="46"/>
      <c r="J4" s="46"/>
      <c r="K4" s="46"/>
      <c r="L4" s="46"/>
      <c r="M4" s="46"/>
      <c r="N4" s="46"/>
      <c r="O4" s="46"/>
      <c r="P4" s="46"/>
      <c r="Q4" s="46"/>
    </row>
    <row r="5" spans="2:17" x14ac:dyDescent="0.25">
      <c r="B5" s="66"/>
      <c r="C5" s="66"/>
      <c r="D5" s="66"/>
      <c r="E5" s="66"/>
      <c r="F5" s="46"/>
      <c r="G5" s="46"/>
      <c r="H5" s="46"/>
      <c r="I5" s="46"/>
      <c r="J5" s="46"/>
      <c r="K5" s="46"/>
      <c r="L5" s="46"/>
      <c r="M5" s="46"/>
      <c r="N5" s="46"/>
      <c r="O5" s="46"/>
      <c r="P5" s="46"/>
      <c r="Q5" s="46"/>
    </row>
    <row r="6" spans="2:17" ht="18.75" customHeight="1" x14ac:dyDescent="0.25">
      <c r="B6" s="66"/>
      <c r="C6" s="66"/>
      <c r="D6" s="66"/>
      <c r="E6" s="66"/>
      <c r="F6" s="46"/>
      <c r="G6" s="46"/>
      <c r="H6" s="46"/>
      <c r="I6" s="46"/>
      <c r="J6" s="46"/>
      <c r="K6" s="46"/>
      <c r="L6" s="46"/>
      <c r="M6" s="47" t="s">
        <v>0</v>
      </c>
      <c r="N6" s="46"/>
      <c r="O6" s="46"/>
      <c r="P6" s="46"/>
      <c r="Q6" s="46"/>
    </row>
    <row r="7" spans="2:17" ht="18.75" customHeight="1" x14ac:dyDescent="0.3">
      <c r="B7" s="66"/>
      <c r="C7" s="66"/>
      <c r="D7" s="66"/>
      <c r="E7" s="66"/>
      <c r="F7" s="46"/>
      <c r="G7" s="46"/>
      <c r="H7" s="46"/>
      <c r="I7" s="46"/>
      <c r="J7" s="46"/>
      <c r="K7" s="46"/>
      <c r="L7" s="46"/>
      <c r="M7" s="1" t="s">
        <v>1</v>
      </c>
      <c r="N7" s="1"/>
      <c r="O7" s="1"/>
      <c r="P7" s="46"/>
      <c r="Q7" s="46"/>
    </row>
    <row r="8" spans="2:17" ht="28.5" customHeight="1" x14ac:dyDescent="0.45">
      <c r="B8" s="46"/>
      <c r="C8" s="46"/>
      <c r="D8" s="46"/>
      <c r="E8" s="46"/>
      <c r="F8" s="12"/>
      <c r="G8" s="11"/>
      <c r="H8" s="11"/>
      <c r="I8" s="11"/>
      <c r="J8" s="11"/>
      <c r="K8" s="11"/>
      <c r="L8" s="46"/>
      <c r="M8" s="46"/>
      <c r="N8" s="46"/>
      <c r="O8" s="46"/>
      <c r="P8" s="46"/>
      <c r="Q8" s="46"/>
    </row>
    <row r="9" spans="2:17" ht="18.75" customHeight="1" x14ac:dyDescent="0.25">
      <c r="B9" s="46"/>
      <c r="C9" s="48" t="s">
        <v>2</v>
      </c>
      <c r="D9" s="49"/>
      <c r="E9" s="49"/>
      <c r="F9" s="49"/>
      <c r="G9" s="49"/>
      <c r="H9" s="50" t="str">
        <f>Model!A1</f>
        <v>Tesla, Inc.</v>
      </c>
      <c r="I9" s="49"/>
      <c r="J9" s="49"/>
      <c r="K9" s="49"/>
      <c r="L9" s="49"/>
      <c r="M9" s="48" t="s">
        <v>3</v>
      </c>
      <c r="N9" s="49"/>
      <c r="O9" s="49"/>
      <c r="P9" s="10" t="s">
        <v>692</v>
      </c>
      <c r="Q9" s="46"/>
    </row>
    <row r="10" spans="2:17" ht="18.75" customHeight="1" x14ac:dyDescent="0.3">
      <c r="B10" s="46"/>
      <c r="C10" s="51"/>
      <c r="D10" s="46"/>
      <c r="E10" s="46"/>
      <c r="F10" s="46"/>
      <c r="G10" s="46"/>
      <c r="H10" s="46"/>
      <c r="I10" s="46"/>
      <c r="J10" s="46"/>
      <c r="K10" s="46"/>
      <c r="L10" s="46"/>
      <c r="M10" s="46"/>
      <c r="N10" s="46"/>
      <c r="O10" s="46"/>
      <c r="P10" s="11"/>
      <c r="Q10" s="46"/>
    </row>
    <row r="11" spans="2:17" ht="18.75" customHeight="1" x14ac:dyDescent="0.25">
      <c r="B11" s="46"/>
      <c r="C11" s="48" t="s">
        <v>4</v>
      </c>
      <c r="D11" s="46"/>
      <c r="E11" s="46"/>
      <c r="F11" s="46"/>
      <c r="G11" s="46"/>
      <c r="H11" s="52">
        <f ca="1">OFFSET('Update Log'!$C$10,1,0,1,1)</f>
        <v>44494</v>
      </c>
      <c r="I11" s="46"/>
      <c r="J11" s="46"/>
      <c r="K11" s="46"/>
      <c r="L11" s="46"/>
      <c r="M11" s="46"/>
      <c r="N11" s="46"/>
      <c r="O11" s="46"/>
      <c r="P11" s="11"/>
      <c r="Q11" s="46"/>
    </row>
    <row r="12" spans="2:17" ht="18.75" customHeight="1" x14ac:dyDescent="0.3">
      <c r="B12" s="46"/>
      <c r="C12" s="46"/>
      <c r="D12" s="46"/>
      <c r="E12" s="46"/>
      <c r="F12" s="46"/>
      <c r="G12" s="46"/>
      <c r="H12" s="53"/>
      <c r="I12" s="46"/>
      <c r="J12" s="46"/>
      <c r="K12" s="46"/>
      <c r="L12" s="46"/>
      <c r="M12" s="46"/>
      <c r="N12" s="46"/>
      <c r="O12" s="46"/>
      <c r="P12" s="11"/>
      <c r="Q12" s="46"/>
    </row>
    <row r="13" spans="2:17" ht="18.75" customHeight="1" x14ac:dyDescent="0.25">
      <c r="B13" s="46"/>
      <c r="C13" s="48" t="s">
        <v>5</v>
      </c>
      <c r="D13" s="46"/>
      <c r="E13" s="46"/>
      <c r="F13" s="46"/>
      <c r="G13" s="46"/>
      <c r="H13" s="54" t="str">
        <f ca="1">OFFSET('Update Log'!$E$10,1,0,1,1)</f>
        <v>Quarterly (Earnings Report)</v>
      </c>
      <c r="I13" s="46"/>
      <c r="J13" s="46"/>
      <c r="K13" s="46"/>
      <c r="L13" s="46"/>
      <c r="M13" s="46"/>
      <c r="N13" s="46"/>
      <c r="O13" s="46"/>
      <c r="P13" s="11"/>
      <c r="Q13" s="46"/>
    </row>
    <row r="14" spans="2:17" x14ac:dyDescent="0.25">
      <c r="B14" s="46"/>
      <c r="C14" s="46"/>
      <c r="D14" s="46"/>
      <c r="E14" s="46"/>
      <c r="F14" s="46"/>
      <c r="G14" s="46"/>
      <c r="H14" s="46"/>
      <c r="I14" s="46"/>
      <c r="J14" s="46"/>
      <c r="K14" s="46"/>
      <c r="L14" s="46"/>
      <c r="M14" s="46"/>
      <c r="N14" s="46"/>
      <c r="O14" s="46"/>
      <c r="P14" s="11"/>
      <c r="Q14" s="46"/>
    </row>
    <row r="15" spans="2:17" ht="18.75" customHeight="1" x14ac:dyDescent="0.25">
      <c r="B15" s="46"/>
      <c r="C15" s="48" t="s">
        <v>6</v>
      </c>
      <c r="D15" s="49"/>
      <c r="E15" s="49"/>
      <c r="F15" s="49"/>
      <c r="G15" s="49"/>
      <c r="H15" s="55" t="s">
        <v>7</v>
      </c>
      <c r="I15" s="46"/>
      <c r="J15" s="56"/>
      <c r="K15" s="46"/>
      <c r="L15" s="46"/>
      <c r="M15" s="57"/>
      <c r="N15" s="46"/>
      <c r="O15" s="46"/>
      <c r="P15" s="11"/>
      <c r="Q15" s="46"/>
    </row>
    <row r="16" spans="2:17" ht="15" customHeight="1" x14ac:dyDescent="0.25">
      <c r="B16" s="46"/>
      <c r="C16" s="58"/>
      <c r="D16" s="57"/>
      <c r="E16" s="57"/>
      <c r="F16" s="57"/>
      <c r="G16" s="57"/>
      <c r="H16" s="167">
        <f>IF(FP.DataSourceName="Bloomberg",1,IF(FP.DataSourceName="Capital IQ",2,IF(FP.DataSourceName="FactSet",3,IF(FP.DataSourceName="Refinitiv",4))))</f>
        <v>1</v>
      </c>
      <c r="I16" s="59"/>
      <c r="J16" s="56"/>
      <c r="K16" s="46"/>
      <c r="L16" s="46"/>
      <c r="M16" s="57"/>
      <c r="N16" s="46"/>
      <c r="O16" s="46"/>
      <c r="P16" s="11"/>
      <c r="Q16" s="46"/>
    </row>
    <row r="17" spans="2:23" s="61" customFormat="1" ht="18.75" customHeight="1" x14ac:dyDescent="0.3">
      <c r="B17" s="57"/>
      <c r="C17" s="51"/>
      <c r="D17" s="57"/>
      <c r="E17" s="57"/>
      <c r="F17" s="57"/>
      <c r="G17" s="57"/>
      <c r="H17" s="57"/>
      <c r="I17" s="59"/>
      <c r="J17" s="56"/>
      <c r="K17" s="46"/>
      <c r="L17" s="46"/>
      <c r="M17" s="46"/>
      <c r="N17" s="57"/>
      <c r="O17" s="57"/>
      <c r="P17" s="60"/>
      <c r="Q17" s="57"/>
      <c r="W17" s="258"/>
    </row>
    <row r="18" spans="2:23" s="61" customFormat="1" ht="18.75" customHeight="1" x14ac:dyDescent="0.25">
      <c r="B18" s="57"/>
      <c r="C18" s="48" t="s">
        <v>8</v>
      </c>
      <c r="D18" s="49"/>
      <c r="E18" s="49"/>
      <c r="F18" s="49"/>
      <c r="G18" s="49"/>
      <c r="H18" s="55" t="s">
        <v>569</v>
      </c>
      <c r="I18" s="62"/>
      <c r="J18" s="62"/>
      <c r="K18" s="46"/>
      <c r="L18" s="46"/>
      <c r="M18" s="46"/>
      <c r="N18" s="57"/>
      <c r="O18" s="57"/>
      <c r="P18" s="60"/>
      <c r="Q18" s="57"/>
      <c r="W18" s="258"/>
    </row>
    <row r="19" spans="2:23" s="61" customFormat="1" x14ac:dyDescent="0.25">
      <c r="B19" s="57"/>
      <c r="C19" s="58"/>
      <c r="D19" s="57"/>
      <c r="E19" s="57"/>
      <c r="F19" s="57"/>
      <c r="G19" s="57"/>
      <c r="H19" s="57"/>
      <c r="I19" s="59"/>
      <c r="J19" s="56"/>
      <c r="K19" s="46"/>
      <c r="L19" s="46"/>
      <c r="M19" s="46"/>
      <c r="N19" s="57"/>
      <c r="O19" s="57"/>
      <c r="P19" s="60"/>
      <c r="Q19" s="57"/>
      <c r="W19" s="258"/>
    </row>
    <row r="20" spans="2:23" s="61" customFormat="1" ht="18.75" customHeight="1" x14ac:dyDescent="0.3">
      <c r="B20" s="57"/>
      <c r="C20" s="63" t="s">
        <v>9</v>
      </c>
      <c r="D20" s="57"/>
      <c r="E20" s="57"/>
      <c r="F20" s="786">
        <v>44575</v>
      </c>
      <c r="G20" s="57"/>
      <c r="H20" s="611">
        <v>1049.6099999999999</v>
      </c>
      <c r="I20" s="59"/>
      <c r="J20" s="56"/>
      <c r="K20" s="46"/>
      <c r="L20" s="46"/>
      <c r="M20" s="46"/>
      <c r="N20" s="57"/>
      <c r="O20" s="57"/>
      <c r="P20" s="60"/>
      <c r="Q20" s="57"/>
      <c r="W20" s="258"/>
    </row>
    <row r="21" spans="2:23" s="61" customFormat="1" x14ac:dyDescent="0.25">
      <c r="B21" s="57"/>
      <c r="C21" s="57"/>
      <c r="D21" s="46"/>
      <c r="E21" s="46"/>
      <c r="F21" s="46"/>
      <c r="G21" s="46"/>
      <c r="H21" s="46"/>
      <c r="I21" s="46"/>
      <c r="J21" s="46"/>
      <c r="K21" s="46"/>
      <c r="L21" s="46"/>
      <c r="M21" s="46"/>
      <c r="N21" s="57"/>
      <c r="O21" s="57"/>
      <c r="P21" s="57"/>
      <c r="Q21" s="57"/>
    </row>
    <row r="22" spans="2:23" ht="15.95" customHeight="1" x14ac:dyDescent="0.25">
      <c r="B22" s="46"/>
      <c r="C22" s="9" t="s">
        <v>460</v>
      </c>
      <c r="D22" s="8"/>
      <c r="E22" s="8"/>
      <c r="F22" s="8"/>
      <c r="G22" s="8"/>
      <c r="H22" s="8"/>
      <c r="I22" s="8"/>
      <c r="J22" s="8"/>
      <c r="K22" s="8"/>
      <c r="L22" s="8"/>
      <c r="M22" s="8"/>
      <c r="N22" s="8"/>
      <c r="O22" s="8"/>
      <c r="P22" s="7"/>
      <c r="Q22" s="46"/>
    </row>
    <row r="23" spans="2:23" ht="15.95" customHeight="1" x14ac:dyDescent="0.25">
      <c r="B23" s="46"/>
      <c r="C23" s="6"/>
      <c r="D23" s="11"/>
      <c r="E23" s="11"/>
      <c r="F23" s="11"/>
      <c r="G23" s="11"/>
      <c r="H23" s="11"/>
      <c r="I23" s="11"/>
      <c r="J23" s="11"/>
      <c r="K23" s="11"/>
      <c r="L23" s="11"/>
      <c r="M23" s="11"/>
      <c r="N23" s="11"/>
      <c r="O23" s="11"/>
      <c r="P23" s="5"/>
      <c r="Q23" s="46"/>
    </row>
    <row r="24" spans="2:23" ht="15.95" customHeight="1" x14ac:dyDescent="0.25">
      <c r="B24" s="46"/>
      <c r="C24" s="6"/>
      <c r="D24" s="11"/>
      <c r="E24" s="11"/>
      <c r="F24" s="11"/>
      <c r="G24" s="11"/>
      <c r="H24" s="11"/>
      <c r="I24" s="11"/>
      <c r="J24" s="11"/>
      <c r="K24" s="11"/>
      <c r="L24" s="11"/>
      <c r="M24" s="11"/>
      <c r="N24" s="11"/>
      <c r="O24" s="11"/>
      <c r="P24" s="5"/>
      <c r="Q24" s="46"/>
    </row>
    <row r="25" spans="2:23" ht="15.95" customHeight="1" x14ac:dyDescent="0.25">
      <c r="B25" s="46"/>
      <c r="C25" s="6"/>
      <c r="D25" s="11"/>
      <c r="E25" s="11"/>
      <c r="F25" s="11"/>
      <c r="G25" s="11"/>
      <c r="H25" s="11"/>
      <c r="I25" s="11"/>
      <c r="J25" s="11"/>
      <c r="K25" s="11"/>
      <c r="L25" s="11"/>
      <c r="M25" s="11"/>
      <c r="N25" s="11"/>
      <c r="O25" s="11"/>
      <c r="P25" s="5"/>
      <c r="Q25" s="46"/>
    </row>
    <row r="26" spans="2:23" ht="15.95" customHeight="1" x14ac:dyDescent="0.25">
      <c r="B26" s="46"/>
      <c r="C26" s="6"/>
      <c r="D26" s="11"/>
      <c r="E26" s="11"/>
      <c r="F26" s="11"/>
      <c r="G26" s="11"/>
      <c r="H26" s="11"/>
      <c r="I26" s="11"/>
      <c r="J26" s="11"/>
      <c r="K26" s="11"/>
      <c r="L26" s="11"/>
      <c r="M26" s="11"/>
      <c r="N26" s="11"/>
      <c r="O26" s="11"/>
      <c r="P26" s="5"/>
      <c r="Q26" s="46"/>
    </row>
    <row r="27" spans="2:23" ht="15.95" customHeight="1" x14ac:dyDescent="0.25">
      <c r="B27" s="46"/>
      <c r="C27" s="6"/>
      <c r="D27" s="11"/>
      <c r="E27" s="11"/>
      <c r="F27" s="11"/>
      <c r="G27" s="11"/>
      <c r="H27" s="11"/>
      <c r="I27" s="11"/>
      <c r="J27" s="11"/>
      <c r="K27" s="11"/>
      <c r="L27" s="11"/>
      <c r="M27" s="11"/>
      <c r="N27" s="11"/>
      <c r="O27" s="11"/>
      <c r="P27" s="5"/>
      <c r="Q27" s="46"/>
    </row>
    <row r="28" spans="2:23" ht="15.95" customHeight="1" x14ac:dyDescent="0.25">
      <c r="B28" s="46"/>
      <c r="C28" s="6"/>
      <c r="D28" s="11"/>
      <c r="E28" s="11"/>
      <c r="F28" s="11"/>
      <c r="G28" s="11"/>
      <c r="H28" s="11"/>
      <c r="I28" s="11"/>
      <c r="J28" s="11"/>
      <c r="K28" s="11"/>
      <c r="L28" s="11"/>
      <c r="M28" s="11"/>
      <c r="N28" s="11"/>
      <c r="O28" s="11"/>
      <c r="P28" s="5"/>
      <c r="Q28" s="46"/>
    </row>
    <row r="29" spans="2:23" ht="15.95" customHeight="1" x14ac:dyDescent="0.25">
      <c r="B29" s="46"/>
      <c r="C29" s="6"/>
      <c r="D29" s="11"/>
      <c r="E29" s="11"/>
      <c r="F29" s="11"/>
      <c r="G29" s="11"/>
      <c r="H29" s="11"/>
      <c r="I29" s="11"/>
      <c r="J29" s="11"/>
      <c r="K29" s="11"/>
      <c r="L29" s="11"/>
      <c r="M29" s="11"/>
      <c r="N29" s="11"/>
      <c r="O29" s="11"/>
      <c r="P29" s="5"/>
      <c r="Q29" s="46"/>
    </row>
    <row r="30" spans="2:23" ht="15.95" customHeight="1" x14ac:dyDescent="0.25">
      <c r="B30" s="46"/>
      <c r="C30" s="6"/>
      <c r="D30" s="11"/>
      <c r="E30" s="11"/>
      <c r="F30" s="11"/>
      <c r="G30" s="11"/>
      <c r="H30" s="11"/>
      <c r="I30" s="11"/>
      <c r="J30" s="11"/>
      <c r="K30" s="11"/>
      <c r="L30" s="11"/>
      <c r="M30" s="11"/>
      <c r="N30" s="11"/>
      <c r="O30" s="11"/>
      <c r="P30" s="5"/>
      <c r="Q30" s="46"/>
    </row>
    <row r="31" spans="2:23" ht="15.95" customHeight="1" x14ac:dyDescent="0.25">
      <c r="B31" s="46"/>
      <c r="C31" s="6"/>
      <c r="D31" s="11"/>
      <c r="E31" s="11"/>
      <c r="F31" s="11"/>
      <c r="G31" s="11"/>
      <c r="H31" s="11"/>
      <c r="I31" s="11"/>
      <c r="J31" s="11"/>
      <c r="K31" s="11"/>
      <c r="L31" s="11"/>
      <c r="M31" s="11"/>
      <c r="N31" s="11"/>
      <c r="O31" s="11"/>
      <c r="P31" s="5"/>
      <c r="Q31" s="46"/>
    </row>
    <row r="32" spans="2:23" ht="15.95" customHeight="1" x14ac:dyDescent="0.25">
      <c r="B32" s="46"/>
      <c r="C32" s="6"/>
      <c r="D32" s="11"/>
      <c r="E32" s="11"/>
      <c r="F32" s="11"/>
      <c r="G32" s="11"/>
      <c r="H32" s="11"/>
      <c r="I32" s="11"/>
      <c r="J32" s="11"/>
      <c r="K32" s="11"/>
      <c r="L32" s="11"/>
      <c r="M32" s="11"/>
      <c r="N32" s="11"/>
      <c r="O32" s="11"/>
      <c r="P32" s="5"/>
      <c r="Q32" s="46"/>
    </row>
    <row r="33" spans="2:18" ht="15.95" customHeight="1" x14ac:dyDescent="0.25">
      <c r="B33" s="46"/>
      <c r="C33" s="6"/>
      <c r="D33" s="11"/>
      <c r="E33" s="11"/>
      <c r="F33" s="11"/>
      <c r="G33" s="11"/>
      <c r="H33" s="11"/>
      <c r="I33" s="11"/>
      <c r="J33" s="11"/>
      <c r="K33" s="11"/>
      <c r="L33" s="11"/>
      <c r="M33" s="11"/>
      <c r="N33" s="11"/>
      <c r="O33" s="11"/>
      <c r="P33" s="5"/>
      <c r="Q33" s="66"/>
      <c r="R33" s="13"/>
    </row>
    <row r="34" spans="2:18" ht="15.95" customHeight="1" x14ac:dyDescent="0.25">
      <c r="B34" s="46"/>
      <c r="C34" s="6"/>
      <c r="D34" s="11"/>
      <c r="E34" s="11"/>
      <c r="F34" s="11"/>
      <c r="G34" s="11"/>
      <c r="H34" s="11"/>
      <c r="I34" s="11"/>
      <c r="J34" s="11"/>
      <c r="K34" s="11"/>
      <c r="L34" s="11"/>
      <c r="M34" s="11"/>
      <c r="N34" s="11"/>
      <c r="O34" s="11"/>
      <c r="P34" s="5"/>
      <c r="Q34" s="66"/>
      <c r="R34" s="13"/>
    </row>
    <row r="35" spans="2:18" ht="15.95" customHeight="1" x14ac:dyDescent="0.25">
      <c r="B35" s="46"/>
      <c r="C35" s="6"/>
      <c r="D35" s="11"/>
      <c r="E35" s="11"/>
      <c r="F35" s="11"/>
      <c r="G35" s="11"/>
      <c r="H35" s="11"/>
      <c r="I35" s="11"/>
      <c r="J35" s="11"/>
      <c r="K35" s="11"/>
      <c r="L35" s="11"/>
      <c r="M35" s="11"/>
      <c r="N35" s="11"/>
      <c r="O35" s="11"/>
      <c r="P35" s="5"/>
      <c r="Q35" s="66"/>
      <c r="R35" s="13"/>
    </row>
    <row r="36" spans="2:18" ht="15.95" customHeight="1" x14ac:dyDescent="0.25">
      <c r="B36" s="46"/>
      <c r="C36" s="6"/>
      <c r="D36" s="11"/>
      <c r="E36" s="11"/>
      <c r="F36" s="11"/>
      <c r="G36" s="11"/>
      <c r="H36" s="11"/>
      <c r="I36" s="11"/>
      <c r="J36" s="11"/>
      <c r="K36" s="11"/>
      <c r="L36" s="11"/>
      <c r="M36" s="11"/>
      <c r="N36" s="11"/>
      <c r="O36" s="11"/>
      <c r="P36" s="5"/>
      <c r="Q36" s="66"/>
      <c r="R36" s="13"/>
    </row>
    <row r="37" spans="2:18" ht="15.95" customHeight="1" x14ac:dyDescent="0.25">
      <c r="B37" s="46"/>
      <c r="C37" s="6"/>
      <c r="D37" s="11"/>
      <c r="E37" s="11"/>
      <c r="F37" s="11"/>
      <c r="G37" s="11"/>
      <c r="H37" s="11"/>
      <c r="I37" s="11"/>
      <c r="J37" s="11"/>
      <c r="K37" s="11"/>
      <c r="L37" s="11"/>
      <c r="M37" s="11"/>
      <c r="N37" s="11"/>
      <c r="O37" s="11"/>
      <c r="P37" s="5"/>
      <c r="Q37" s="66"/>
      <c r="R37" s="13"/>
    </row>
    <row r="38" spans="2:18" ht="15.95" customHeight="1" x14ac:dyDescent="0.25">
      <c r="B38" s="46"/>
      <c r="C38" s="6"/>
      <c r="D38" s="11"/>
      <c r="E38" s="11"/>
      <c r="F38" s="11"/>
      <c r="G38" s="11"/>
      <c r="H38" s="11"/>
      <c r="I38" s="11"/>
      <c r="J38" s="11"/>
      <c r="K38" s="11"/>
      <c r="L38" s="11"/>
      <c r="M38" s="11"/>
      <c r="N38" s="11"/>
      <c r="O38" s="11"/>
      <c r="P38" s="5"/>
      <c r="Q38" s="66"/>
      <c r="R38" s="13"/>
    </row>
    <row r="39" spans="2:18" ht="15.95" customHeight="1" x14ac:dyDescent="0.25">
      <c r="B39" s="46"/>
      <c r="C39" s="6"/>
      <c r="D39" s="11"/>
      <c r="E39" s="11"/>
      <c r="F39" s="11"/>
      <c r="G39" s="11"/>
      <c r="H39" s="11"/>
      <c r="I39" s="11"/>
      <c r="J39" s="11"/>
      <c r="K39" s="11"/>
      <c r="L39" s="11"/>
      <c r="M39" s="11"/>
      <c r="N39" s="11"/>
      <c r="O39" s="11"/>
      <c r="P39" s="5"/>
      <c r="Q39" s="66"/>
      <c r="R39" s="13"/>
    </row>
    <row r="40" spans="2:18" ht="15.95" customHeight="1" x14ac:dyDescent="0.25">
      <c r="B40" s="46"/>
      <c r="C40" s="6"/>
      <c r="D40" s="11"/>
      <c r="E40" s="11"/>
      <c r="F40" s="11"/>
      <c r="G40" s="11"/>
      <c r="H40" s="11"/>
      <c r="I40" s="11"/>
      <c r="J40" s="11"/>
      <c r="K40" s="11"/>
      <c r="L40" s="11"/>
      <c r="M40" s="11"/>
      <c r="N40" s="11"/>
      <c r="O40" s="11"/>
      <c r="P40" s="5"/>
      <c r="Q40" s="66"/>
      <c r="R40" s="13"/>
    </row>
    <row r="41" spans="2:18" ht="15.95" customHeight="1" x14ac:dyDescent="0.25">
      <c r="B41" s="46"/>
      <c r="C41" s="4"/>
      <c r="D41" s="3"/>
      <c r="E41" s="3"/>
      <c r="F41" s="3"/>
      <c r="G41" s="3"/>
      <c r="H41" s="3"/>
      <c r="I41" s="3"/>
      <c r="J41" s="3"/>
      <c r="K41" s="3"/>
      <c r="L41" s="3"/>
      <c r="M41" s="3"/>
      <c r="N41" s="3"/>
      <c r="O41" s="3"/>
      <c r="P41" s="2"/>
      <c r="Q41" s="66"/>
      <c r="R41" s="13"/>
    </row>
    <row r="42" spans="2:18" x14ac:dyDescent="0.25">
      <c r="B42" s="46"/>
      <c r="C42" s="46"/>
      <c r="D42" s="46"/>
      <c r="E42" s="46"/>
      <c r="F42" s="46"/>
      <c r="G42" s="46"/>
      <c r="H42" s="46"/>
      <c r="I42" s="46"/>
      <c r="J42" s="46"/>
      <c r="K42" s="46"/>
      <c r="L42" s="46"/>
      <c r="M42" s="46"/>
      <c r="N42" s="46"/>
      <c r="O42" s="46"/>
      <c r="P42" s="46"/>
      <c r="Q42" s="66"/>
      <c r="R42" s="13"/>
    </row>
    <row r="43" spans="2:18" x14ac:dyDescent="0.25">
      <c r="B43" s="64"/>
      <c r="C43" s="64"/>
      <c r="D43" s="64"/>
      <c r="E43" s="64"/>
      <c r="F43" s="64"/>
      <c r="G43" s="64"/>
      <c r="H43" s="64"/>
      <c r="I43" s="64"/>
      <c r="J43" s="64"/>
      <c r="K43" s="64"/>
      <c r="L43" s="64"/>
      <c r="M43" s="64"/>
      <c r="N43" s="64"/>
      <c r="O43" s="64"/>
      <c r="Q43" s="67"/>
      <c r="R43" s="67"/>
    </row>
    <row r="44" spans="2:18" x14ac:dyDescent="0.25">
      <c r="B44" s="64"/>
      <c r="C44" s="64"/>
      <c r="D44" s="64"/>
      <c r="E44" s="64"/>
      <c r="F44" s="64"/>
      <c r="G44" s="64"/>
      <c r="H44" s="64"/>
      <c r="I44" s="64"/>
      <c r="J44" s="64"/>
      <c r="K44" s="64"/>
      <c r="L44" s="64"/>
      <c r="M44" s="64"/>
      <c r="N44" s="64"/>
      <c r="O44" s="64"/>
    </row>
    <row r="45" spans="2:18" x14ac:dyDescent="0.25">
      <c r="B45" s="64"/>
      <c r="C45" s="64"/>
      <c r="D45" s="64"/>
      <c r="E45" s="64"/>
      <c r="F45" s="64"/>
      <c r="G45" s="64"/>
      <c r="H45" s="64"/>
      <c r="I45" s="64"/>
      <c r="J45" s="64"/>
      <c r="K45" s="64"/>
      <c r="L45" s="64"/>
      <c r="M45" s="64"/>
      <c r="N45" s="64"/>
      <c r="O45" s="64"/>
    </row>
    <row r="46" spans="2:18" x14ac:dyDescent="0.25">
      <c r="B46" s="64"/>
      <c r="C46" s="64"/>
      <c r="D46" s="64"/>
      <c r="E46" s="64"/>
      <c r="F46" s="64"/>
      <c r="G46" s="64"/>
      <c r="H46" s="64"/>
      <c r="I46" s="64"/>
      <c r="J46" s="64"/>
      <c r="K46" s="64"/>
      <c r="L46" s="64"/>
      <c r="M46" s="64"/>
      <c r="N46" s="64"/>
      <c r="O46" s="64"/>
    </row>
    <row r="47" spans="2:18" x14ac:dyDescent="0.25">
      <c r="B47" s="64"/>
      <c r="C47" s="64"/>
      <c r="D47" s="64"/>
      <c r="E47" s="64"/>
      <c r="F47" s="64"/>
      <c r="G47" s="64"/>
      <c r="H47" s="64"/>
      <c r="I47" s="64"/>
      <c r="J47" s="64"/>
      <c r="K47" s="64"/>
      <c r="L47" s="64"/>
      <c r="M47" s="64"/>
      <c r="N47" s="64"/>
      <c r="O47" s="64"/>
    </row>
    <row r="48" spans="2:18" x14ac:dyDescent="0.25">
      <c r="B48" s="64"/>
      <c r="C48" s="64"/>
      <c r="D48" s="64"/>
      <c r="E48" s="64"/>
      <c r="F48" s="64"/>
      <c r="G48" s="64"/>
      <c r="H48" s="64"/>
      <c r="I48" s="64"/>
      <c r="J48" s="64"/>
      <c r="K48" s="64"/>
      <c r="L48" s="64"/>
      <c r="M48" s="64"/>
      <c r="N48" s="64"/>
      <c r="O48" s="64"/>
    </row>
    <row r="49" spans="2:15" x14ac:dyDescent="0.25">
      <c r="B49" s="64"/>
      <c r="C49" s="64"/>
      <c r="D49" s="64"/>
      <c r="E49" s="64"/>
      <c r="F49" s="64"/>
      <c r="G49" s="64"/>
      <c r="H49" s="64"/>
      <c r="I49" s="64"/>
      <c r="J49" s="64"/>
      <c r="K49" s="64"/>
      <c r="L49" s="64"/>
      <c r="M49" s="64"/>
      <c r="N49" s="64"/>
      <c r="O49" s="64"/>
    </row>
    <row r="50" spans="2:15" x14ac:dyDescent="0.25">
      <c r="B50" s="64"/>
      <c r="C50" s="64"/>
      <c r="D50" s="64"/>
      <c r="E50" s="64"/>
      <c r="F50" s="64"/>
      <c r="G50" s="64"/>
      <c r="H50" s="64"/>
      <c r="I50" s="64"/>
      <c r="J50" s="64"/>
      <c r="K50" s="64"/>
      <c r="L50" s="64"/>
      <c r="M50" s="64"/>
      <c r="N50" s="64"/>
      <c r="O50" s="64"/>
    </row>
    <row r="51" spans="2:15" x14ac:dyDescent="0.25">
      <c r="B51" s="64"/>
      <c r="C51" s="64"/>
      <c r="D51" s="64"/>
      <c r="E51" s="64"/>
      <c r="F51" s="64"/>
      <c r="G51" s="64"/>
      <c r="H51" s="64"/>
      <c r="I51" s="64"/>
      <c r="J51" s="64"/>
      <c r="K51" s="64"/>
      <c r="L51" s="64"/>
      <c r="M51" s="64"/>
      <c r="N51" s="64"/>
      <c r="O51" s="64"/>
    </row>
    <row r="52" spans="2:15" x14ac:dyDescent="0.25">
      <c r="B52" s="64"/>
      <c r="C52" s="64"/>
      <c r="D52" s="64"/>
      <c r="E52" s="64"/>
      <c r="F52" s="64"/>
      <c r="G52" s="64"/>
      <c r="H52" s="64"/>
      <c r="I52" s="64"/>
      <c r="J52" s="64"/>
      <c r="K52" s="64"/>
      <c r="L52" s="64"/>
      <c r="M52" s="64"/>
      <c r="N52" s="64"/>
      <c r="O52" s="64"/>
    </row>
    <row r="53" spans="2:15" x14ac:dyDescent="0.25">
      <c r="B53" s="64"/>
      <c r="C53" s="64"/>
      <c r="D53" s="64"/>
      <c r="E53" s="64"/>
      <c r="F53" s="64"/>
      <c r="G53" s="64"/>
      <c r="H53" s="64"/>
      <c r="I53" s="64"/>
      <c r="J53" s="64"/>
      <c r="K53" s="64"/>
      <c r="L53" s="64"/>
      <c r="M53" s="64"/>
      <c r="N53" s="64"/>
      <c r="O53" s="64"/>
    </row>
    <row r="54" spans="2:15" x14ac:dyDescent="0.25">
      <c r="B54" s="64"/>
      <c r="C54" s="64"/>
      <c r="D54" s="64"/>
      <c r="E54" s="64"/>
      <c r="F54" s="64"/>
      <c r="G54" s="64"/>
      <c r="H54" s="64"/>
      <c r="I54" s="64"/>
      <c r="J54" s="64"/>
      <c r="K54" s="64"/>
      <c r="L54" s="64"/>
      <c r="M54" s="64"/>
      <c r="N54" s="64"/>
      <c r="O54" s="64"/>
    </row>
    <row r="55" spans="2:15" x14ac:dyDescent="0.25">
      <c r="B55" s="64"/>
      <c r="C55" s="64"/>
      <c r="D55" s="64"/>
      <c r="E55" s="64"/>
      <c r="F55" s="64"/>
      <c r="G55" s="64"/>
      <c r="H55" s="64"/>
      <c r="I55" s="64"/>
      <c r="J55" s="64"/>
      <c r="K55" s="64"/>
      <c r="L55" s="64"/>
      <c r="M55" s="64"/>
      <c r="N55" s="64"/>
      <c r="O55" s="64"/>
    </row>
    <row r="56" spans="2:15" x14ac:dyDescent="0.25">
      <c r="B56" s="64"/>
      <c r="C56" s="64"/>
      <c r="D56" s="64"/>
      <c r="E56" s="64"/>
      <c r="F56" s="64"/>
      <c r="G56" s="64"/>
      <c r="H56" s="64"/>
      <c r="I56" s="64"/>
      <c r="J56" s="64"/>
      <c r="K56" s="64"/>
      <c r="L56" s="64"/>
      <c r="M56" s="64"/>
      <c r="N56" s="64"/>
      <c r="O56" s="64"/>
    </row>
    <row r="57" spans="2:15" x14ac:dyDescent="0.25">
      <c r="B57" s="64"/>
      <c r="C57" s="64"/>
      <c r="D57" s="64"/>
      <c r="E57" s="64"/>
      <c r="F57" s="64"/>
      <c r="G57" s="64"/>
      <c r="H57" s="64"/>
      <c r="I57" s="64"/>
      <c r="J57" s="64"/>
      <c r="K57" s="64"/>
      <c r="L57" s="64"/>
      <c r="M57" s="64"/>
      <c r="N57" s="64"/>
      <c r="O57" s="64"/>
    </row>
  </sheetData>
  <mergeCells count="4">
    <mergeCell ref="F8:K8"/>
    <mergeCell ref="P9:P16"/>
    <mergeCell ref="C22:P41"/>
    <mergeCell ref="M7:O7"/>
  </mergeCells>
  <conditionalFormatting sqref="C20:H20">
    <cfRule type="expression" dxfId="10" priority="2">
      <formula>AND(FP.RealTimeToggle="ON",MO.RealTime="ON")</formula>
    </cfRule>
  </conditionalFormatting>
  <dataValidations count="3">
    <dataValidation type="list" showInputMessage="1" showErrorMessage="1" sqref="H18" xr:uid="{00000000-0002-0000-0000-000000000000}">
      <formula1>"ON, OFF"</formula1>
    </dataValidation>
    <dataValidation allowBlank="1" showInputMessage="1" showErrorMessage="1" sqref="H16" xr:uid="{00000000-0002-0000-0000-000001000000}"/>
    <dataValidation type="list" allowBlank="1" showInputMessage="1" showErrorMessage="1" sqref="H15" xr:uid="{00000000-0002-0000-0000-000002000000}">
      <formula1>"Bloomberg, Capital IQ, FactSet, Refinitiv"</formula1>
    </dataValidation>
  </dataValidations>
  <hyperlinks>
    <hyperlink ref="M7" r:id="rId1" tooltip="Click to directly email Canalyst support" xr:uid="{00000000-0004-0000-0000-000000000000}"/>
    <hyperlink ref="M7:O7" r:id="rId2" tooltip="Click to directly email Canalyst support" display="support@canalyst.com" xr:uid="{00000000-0004-0000-0000-000001000000}"/>
  </hyperlinks>
  <pageMargins left="0.7" right="0.7" top="0.75" bottom="0.75" header="0.3" footer="0.3"/>
  <pageSetup scale="45" orientation="portrait" r:id="rId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BH899"/>
  <sheetViews>
    <sheetView zoomScale="85" zoomScaleNormal="85" workbookViewId="0">
      <pane xSplit="2" ySplit="5" topLeftCell="AO6" activePane="bottomRight" state="frozen"/>
      <selection pane="topRight" activeCell="C1" sqref="C1"/>
      <selection pane="bottomLeft" activeCell="A6" sqref="A6"/>
      <selection pane="bottomRight"/>
    </sheetView>
  </sheetViews>
  <sheetFormatPr defaultColWidth="9.140625" defaultRowHeight="15" outlineLevelRow="2" outlineLevelCol="1" x14ac:dyDescent="0.25"/>
  <cols>
    <col min="1" max="1" width="50.7109375" style="234" customWidth="1"/>
    <col min="2" max="2" width="10.7109375" style="234" customWidth="1"/>
    <col min="3" max="6" width="10.42578125" style="234" customWidth="1"/>
    <col min="7" max="10" width="10.42578125" style="234" hidden="1" customWidth="1" outlineLevel="1"/>
    <col min="11" max="11" width="10.42578125" style="234" customWidth="1" collapsed="1"/>
    <col min="12" max="15" width="10.42578125" style="234" hidden="1" customWidth="1" outlineLevel="1"/>
    <col min="16" max="16" width="10.42578125" style="234" customWidth="1" collapsed="1"/>
    <col min="17" max="20" width="10.42578125" style="234" hidden="1" customWidth="1" outlineLevel="1"/>
    <col min="21" max="21" width="10.42578125" style="234" customWidth="1" collapsed="1"/>
    <col min="22" max="22" width="10.42578125" style="234" hidden="1" customWidth="1" outlineLevel="1"/>
    <col min="23" max="24" width="10.42578125" style="240" hidden="1" customWidth="1" outlineLevel="1"/>
    <col min="25" max="25" width="10.42578125" style="241" hidden="1" customWidth="1" outlineLevel="1"/>
    <col min="26" max="26" width="10.42578125" style="241" customWidth="1" collapsed="1"/>
    <col min="27" max="27" width="10.42578125" style="241" hidden="1" customWidth="1" outlineLevel="1"/>
    <col min="28" max="30" width="10.42578125" style="234" hidden="1" customWidth="1" outlineLevel="1"/>
    <col min="31" max="31" width="10.42578125" style="234" customWidth="1" collapsed="1"/>
    <col min="32" max="35" width="10.42578125" style="234" hidden="1" customWidth="1" outlineLevel="1"/>
    <col min="36" max="36" width="10.42578125" style="234" customWidth="1" collapsed="1"/>
    <col min="37" max="40" width="10.42578125" style="234" hidden="1" customWidth="1" outlineLevel="1"/>
    <col min="41" max="41" width="10.42578125" style="234" customWidth="1" collapsed="1"/>
    <col min="42" max="45" width="10.42578125" style="234" customWidth="1" outlineLevel="1"/>
    <col min="46" max="46" width="10.42578125" style="234" customWidth="1"/>
    <col min="47" max="50" width="10.42578125" style="234" customWidth="1" outlineLevel="1"/>
    <col min="51" max="51" width="10.42578125" style="234" customWidth="1"/>
    <col min="52" max="55" width="10.42578125" style="234" customWidth="1" outlineLevel="1"/>
    <col min="56" max="59" width="10.42578125" style="241" customWidth="1"/>
    <col min="60" max="60" width="8.85546875" style="23" customWidth="1"/>
    <col min="61" max="16384" width="9.140625" style="23"/>
  </cols>
  <sheetData>
    <row r="1" spans="1:60" s="126" customFormat="1" ht="28.5" customHeight="1" x14ac:dyDescent="0.45">
      <c r="A1" s="37" t="s">
        <v>10</v>
      </c>
      <c r="B1" s="1021"/>
      <c r="C1" s="1021"/>
      <c r="D1" s="1021"/>
      <c r="E1" s="1021"/>
      <c r="F1" s="1021"/>
      <c r="G1" s="1021"/>
      <c r="H1" s="1021"/>
      <c r="I1" s="1021"/>
      <c r="J1" s="1021"/>
      <c r="K1" s="1021"/>
      <c r="L1" s="1021"/>
      <c r="M1" s="1021"/>
      <c r="N1" s="1021"/>
      <c r="O1" s="1021"/>
      <c r="P1" s="1021"/>
      <c r="Q1" s="1021"/>
      <c r="R1" s="1021"/>
      <c r="S1" s="1021"/>
      <c r="T1" s="1021"/>
      <c r="U1" s="1021"/>
      <c r="V1" s="1021"/>
      <c r="W1" s="1021"/>
      <c r="X1" s="1021"/>
      <c r="Y1" s="1021"/>
      <c r="Z1" s="1021"/>
      <c r="AA1" s="1021"/>
      <c r="AB1" s="1021"/>
      <c r="AC1" s="1021"/>
      <c r="AD1" s="1021"/>
      <c r="AE1" s="1021"/>
      <c r="AF1" s="1021"/>
      <c r="AG1" s="1021"/>
      <c r="AH1" s="1021"/>
      <c r="AI1" s="1021"/>
      <c r="AJ1" s="1021"/>
      <c r="AK1" s="1021"/>
      <c r="AL1" s="1021"/>
      <c r="AM1" s="1021"/>
      <c r="AN1" s="1021"/>
      <c r="AO1" s="1021"/>
      <c r="AP1" s="1021"/>
      <c r="AQ1" s="1021"/>
      <c r="AR1" s="1021"/>
      <c r="AS1" s="1021"/>
      <c r="AT1" s="1021"/>
      <c r="AU1" s="1021"/>
      <c r="AV1" s="1021"/>
      <c r="AW1" s="1022"/>
      <c r="AX1" s="1021"/>
      <c r="AY1" s="1021"/>
      <c r="AZ1" s="1021"/>
      <c r="BA1" s="1021"/>
      <c r="BB1" s="1021"/>
      <c r="BC1" s="1021"/>
      <c r="BD1" s="1021"/>
      <c r="BE1" s="1021"/>
      <c r="BF1" s="1021"/>
      <c r="BG1" s="1021"/>
      <c r="BH1" s="1024"/>
    </row>
    <row r="2" spans="1:60" s="104" customFormat="1" x14ac:dyDescent="0.25">
      <c r="A2" s="624" t="str">
        <f>CHOOSE(MO.DataSourceIndex,MO.Ticker.Bloomberg,MO.Ticker.CapIQ,MO.Ticker.FactSet,MO.Ticker.Thomson)</f>
        <v>TSLA US</v>
      </c>
      <c r="B2" s="632"/>
      <c r="C2" s="295">
        <f>EOMONTH(C4,-12)</f>
        <v>39813</v>
      </c>
      <c r="D2" s="381"/>
      <c r="E2" s="381"/>
      <c r="F2" s="381"/>
      <c r="G2" s="381"/>
      <c r="H2" s="381"/>
      <c r="I2" s="381"/>
      <c r="J2" s="381"/>
      <c r="K2" s="381"/>
      <c r="L2" s="381"/>
      <c r="M2" s="381"/>
      <c r="N2" s="381"/>
      <c r="O2" s="381"/>
      <c r="P2" s="381"/>
      <c r="Q2" s="381"/>
      <c r="R2" s="381"/>
      <c r="S2" s="381"/>
      <c r="T2" s="381"/>
      <c r="U2" s="381"/>
      <c r="V2" s="1021"/>
      <c r="W2" s="1021"/>
      <c r="X2" s="1021"/>
      <c r="Y2" s="1021"/>
      <c r="Z2" s="381"/>
      <c r="AA2" s="381"/>
      <c r="AB2" s="1021"/>
      <c r="AC2" s="1021"/>
      <c r="AD2" s="1021"/>
      <c r="AE2" s="381"/>
      <c r="AF2" s="381"/>
      <c r="AG2" s="1021"/>
      <c r="AH2" s="1021"/>
      <c r="AI2" s="1021"/>
      <c r="AJ2" s="1021"/>
      <c r="AK2" s="381"/>
      <c r="AL2" s="633"/>
      <c r="AM2" s="1021"/>
      <c r="AN2" s="1021"/>
      <c r="AO2" s="1021"/>
      <c r="AP2" s="381"/>
      <c r="AQ2" s="633"/>
      <c r="AR2" s="1021"/>
      <c r="AS2" s="1021"/>
      <c r="AT2" s="1021"/>
      <c r="AU2" s="381"/>
      <c r="AV2" s="633"/>
      <c r="AW2" s="1022"/>
      <c r="AX2" s="381"/>
      <c r="AY2" s="381"/>
      <c r="AZ2" s="381"/>
      <c r="BA2" s="381"/>
      <c r="BB2" s="381"/>
      <c r="BC2" s="381"/>
      <c r="BD2" s="381"/>
      <c r="BE2" s="381"/>
      <c r="BF2" s="381"/>
      <c r="BG2" s="381"/>
      <c r="BH2" s="357"/>
    </row>
    <row r="3" spans="1:60" s="104" customFormat="1" x14ac:dyDescent="0.25">
      <c r="A3" s="625" t="str">
        <f ca="1">HP.TradeCurrency</f>
        <v>USD</v>
      </c>
      <c r="B3" s="626">
        <f ca="1">IF(MO.RealTime="OFF",MO.LastPriceHardcoded,MO.LastPriceFormula)</f>
        <v>1049.6099999999999</v>
      </c>
      <c r="C3" s="696">
        <f>C4-C2</f>
        <v>365</v>
      </c>
      <c r="D3" s="696">
        <f t="shared" ref="D3:J3" si="0">D4-C4</f>
        <v>365</v>
      </c>
      <c r="E3" s="696">
        <f t="shared" si="0"/>
        <v>365</v>
      </c>
      <c r="F3" s="696">
        <f t="shared" si="0"/>
        <v>366</v>
      </c>
      <c r="G3" s="174">
        <f t="shared" si="0"/>
        <v>90</v>
      </c>
      <c r="H3" s="174">
        <f t="shared" si="0"/>
        <v>91</v>
      </c>
      <c r="I3" s="174">
        <f t="shared" si="0"/>
        <v>92</v>
      </c>
      <c r="J3" s="174">
        <f t="shared" si="0"/>
        <v>92</v>
      </c>
      <c r="K3" s="696">
        <f>K4-F4</f>
        <v>365</v>
      </c>
      <c r="L3" s="174">
        <f>L4-K4</f>
        <v>90</v>
      </c>
      <c r="M3" s="174">
        <f>M4-L4</f>
        <v>91</v>
      </c>
      <c r="N3" s="174">
        <f>N4-M4</f>
        <v>92</v>
      </c>
      <c r="O3" s="174">
        <f>O4-N4</f>
        <v>92</v>
      </c>
      <c r="P3" s="696">
        <f>P4-K4</f>
        <v>365</v>
      </c>
      <c r="Q3" s="174">
        <f>Q4-P4</f>
        <v>90</v>
      </c>
      <c r="R3" s="174">
        <f>R4-Q4</f>
        <v>91</v>
      </c>
      <c r="S3" s="174">
        <f>S4-R4</f>
        <v>92</v>
      </c>
      <c r="T3" s="174">
        <f>T4-S4</f>
        <v>92</v>
      </c>
      <c r="U3" s="696">
        <f>U4-P4</f>
        <v>365</v>
      </c>
      <c r="V3" s="174">
        <f>V4-U4</f>
        <v>91</v>
      </c>
      <c r="W3" s="158">
        <f>W4-V4</f>
        <v>91</v>
      </c>
      <c r="X3" s="158">
        <f>X4-W4</f>
        <v>92</v>
      </c>
      <c r="Y3" s="174">
        <f>Y4-X4</f>
        <v>92</v>
      </c>
      <c r="Z3" s="696">
        <f>Z4-U4</f>
        <v>366</v>
      </c>
      <c r="AA3" s="174">
        <f>AA4-Z4</f>
        <v>90</v>
      </c>
      <c r="AB3" s="158">
        <f>AB4-AA4</f>
        <v>91</v>
      </c>
      <c r="AC3" s="158">
        <f>AC4-AB4</f>
        <v>92</v>
      </c>
      <c r="AD3" s="174">
        <f>AD4-AC4</f>
        <v>92</v>
      </c>
      <c r="AE3" s="696">
        <f>AE4-Z4</f>
        <v>365</v>
      </c>
      <c r="AF3" s="174">
        <f>AF4-AE4</f>
        <v>90</v>
      </c>
      <c r="AG3" s="158">
        <f>AG4-AF4</f>
        <v>91</v>
      </c>
      <c r="AH3" s="158">
        <f>AH4-AG4</f>
        <v>92</v>
      </c>
      <c r="AI3" s="174">
        <f>AI4-AH4</f>
        <v>92</v>
      </c>
      <c r="AJ3" s="696">
        <f>AJ4-AE4</f>
        <v>365</v>
      </c>
      <c r="AK3" s="174">
        <f>AK4-AJ4</f>
        <v>90</v>
      </c>
      <c r="AL3" s="158">
        <f>AL4-AK4</f>
        <v>91</v>
      </c>
      <c r="AM3" s="158">
        <f>AM4-AL4</f>
        <v>92</v>
      </c>
      <c r="AN3" s="174">
        <f>AN4-AM4</f>
        <v>92</v>
      </c>
      <c r="AO3" s="696">
        <f>AO4-AJ4</f>
        <v>365</v>
      </c>
      <c r="AP3" s="174">
        <f>AP4-AO4</f>
        <v>91</v>
      </c>
      <c r="AQ3" s="158">
        <f>AQ4-AP4</f>
        <v>91</v>
      </c>
      <c r="AR3" s="158">
        <f>AR4-AQ4</f>
        <v>92</v>
      </c>
      <c r="AS3" s="174">
        <f>AS4-AR4</f>
        <v>92</v>
      </c>
      <c r="AT3" s="696">
        <f>AT4-AO4</f>
        <v>366</v>
      </c>
      <c r="AU3" s="174">
        <f>AU4-AT4</f>
        <v>90</v>
      </c>
      <c r="AV3" s="158">
        <f>AV4-AU4</f>
        <v>91</v>
      </c>
      <c r="AW3" s="788">
        <f>AW4-AV4</f>
        <v>92</v>
      </c>
      <c r="AX3" s="242">
        <f>AX4-AW4</f>
        <v>92</v>
      </c>
      <c r="AY3" s="710">
        <f>AY4-AT4</f>
        <v>365</v>
      </c>
      <c r="AZ3" s="242">
        <f>AZ4-AY4</f>
        <v>90</v>
      </c>
      <c r="BA3" s="242">
        <f>BA4-AZ4</f>
        <v>91</v>
      </c>
      <c r="BB3" s="242">
        <f>BB4-BA4</f>
        <v>92</v>
      </c>
      <c r="BC3" s="242">
        <f>BC4-BB4</f>
        <v>92</v>
      </c>
      <c r="BD3" s="710">
        <f>BD4-AY4</f>
        <v>365</v>
      </c>
      <c r="BE3" s="710">
        <f>BE4-BD4</f>
        <v>365</v>
      </c>
      <c r="BF3" s="710">
        <f>BF4-BE4</f>
        <v>366</v>
      </c>
      <c r="BG3" s="710">
        <f>BG4-BF4</f>
        <v>365</v>
      </c>
      <c r="BH3" s="627"/>
    </row>
    <row r="4" spans="1:60" s="107" customFormat="1" x14ac:dyDescent="0.25">
      <c r="A4" s="628" t="str">
        <f>FP.DataSourceName</f>
        <v>Bloomberg</v>
      </c>
      <c r="B4" s="458" t="str">
        <f ca="1">IF(AND(MO.RealTimeStockPriceToggle,MO.LastPriceFormula&lt;&gt;"N/A"),"ON","OFF")</f>
        <v>OFF</v>
      </c>
      <c r="C4" s="697">
        <v>40178</v>
      </c>
      <c r="D4" s="706">
        <f>EOMONTH(C4,12)</f>
        <v>40543</v>
      </c>
      <c r="E4" s="706">
        <f>EOMONTH(D4,12)</f>
        <v>40908</v>
      </c>
      <c r="F4" s="706">
        <f>EOMONTH(E4,12)</f>
        <v>41274</v>
      </c>
      <c r="G4" s="294">
        <f>EOMONTH(F4,3)</f>
        <v>41364</v>
      </c>
      <c r="H4" s="294">
        <f>EOMONTH(G4,3)</f>
        <v>41455</v>
      </c>
      <c r="I4" s="294">
        <f>EOMONTH(H4,3)</f>
        <v>41547</v>
      </c>
      <c r="J4" s="294">
        <f>EOMONTH(I4,3)</f>
        <v>41639</v>
      </c>
      <c r="K4" s="706">
        <f>J4</f>
        <v>41639</v>
      </c>
      <c r="L4" s="294">
        <f>EOMONTH(K4,3)</f>
        <v>41729</v>
      </c>
      <c r="M4" s="294">
        <f>EOMONTH(L4,3)</f>
        <v>41820</v>
      </c>
      <c r="N4" s="294">
        <f>EOMONTH(M4,3)</f>
        <v>41912</v>
      </c>
      <c r="O4" s="294">
        <f>EOMONTH(N4,3)</f>
        <v>42004</v>
      </c>
      <c r="P4" s="706">
        <f>O4</f>
        <v>42004</v>
      </c>
      <c r="Q4" s="294">
        <f>EOMONTH(P4,3)</f>
        <v>42094</v>
      </c>
      <c r="R4" s="294">
        <f>EOMONTH(Q4,3)</f>
        <v>42185</v>
      </c>
      <c r="S4" s="294">
        <f>EOMONTH(R4,3)</f>
        <v>42277</v>
      </c>
      <c r="T4" s="294">
        <f>EOMONTH(S4,3)</f>
        <v>42369</v>
      </c>
      <c r="U4" s="706">
        <f>T4</f>
        <v>42369</v>
      </c>
      <c r="V4" s="294">
        <f>EOMONTH(U4,3)</f>
        <v>42460</v>
      </c>
      <c r="W4" s="294">
        <f>EOMONTH(V4,3)</f>
        <v>42551</v>
      </c>
      <c r="X4" s="294">
        <f>EOMONTH(W4,3)</f>
        <v>42643</v>
      </c>
      <c r="Y4" s="175">
        <f>EOMONTH(X4,3)</f>
        <v>42735</v>
      </c>
      <c r="Z4" s="708">
        <f>Y4</f>
        <v>42735</v>
      </c>
      <c r="AA4" s="175">
        <f>EOMONTH(Z4,3)</f>
        <v>42825</v>
      </c>
      <c r="AB4" s="294">
        <f>EOMONTH(AA4,3)</f>
        <v>42916</v>
      </c>
      <c r="AC4" s="294">
        <f>EOMONTH(AB4,3)</f>
        <v>43008</v>
      </c>
      <c r="AD4" s="175">
        <f>EOMONTH(AC4,3)</f>
        <v>43100</v>
      </c>
      <c r="AE4" s="708">
        <f>AD4</f>
        <v>43100</v>
      </c>
      <c r="AF4" s="175">
        <f>EOMONTH(AE4,3)</f>
        <v>43190</v>
      </c>
      <c r="AG4" s="294">
        <f>EOMONTH(AF4,3)</f>
        <v>43281</v>
      </c>
      <c r="AH4" s="294">
        <f>EOMONTH(AG4,3)</f>
        <v>43373</v>
      </c>
      <c r="AI4" s="175">
        <f>EOMONTH(AH4,3)</f>
        <v>43465</v>
      </c>
      <c r="AJ4" s="708">
        <f>AI4</f>
        <v>43465</v>
      </c>
      <c r="AK4" s="175">
        <f>EOMONTH(AJ4,3)</f>
        <v>43555</v>
      </c>
      <c r="AL4" s="294">
        <f>EOMONTH(AK4,3)</f>
        <v>43646</v>
      </c>
      <c r="AM4" s="294">
        <f>EOMONTH(AL4,3)</f>
        <v>43738</v>
      </c>
      <c r="AN4" s="175">
        <f>EOMONTH(AM4,3)</f>
        <v>43830</v>
      </c>
      <c r="AO4" s="708">
        <f>AN4</f>
        <v>43830</v>
      </c>
      <c r="AP4" s="175">
        <f>EOMONTH(AO4,3)</f>
        <v>43921</v>
      </c>
      <c r="AQ4" s="294">
        <f>EOMONTH(AP4,3)</f>
        <v>44012</v>
      </c>
      <c r="AR4" s="294">
        <f>EOMONTH(AQ4,3)</f>
        <v>44104</v>
      </c>
      <c r="AS4" s="175">
        <f>EOMONTH(AR4,3)</f>
        <v>44196</v>
      </c>
      <c r="AT4" s="708">
        <f>AS4</f>
        <v>44196</v>
      </c>
      <c r="AU4" s="175">
        <f>EOMONTH(AT4,3)</f>
        <v>44286</v>
      </c>
      <c r="AV4" s="294">
        <f>EOMONTH(AU4,3)</f>
        <v>44377</v>
      </c>
      <c r="AW4" s="789">
        <f>EOMONTH(AV4,3)</f>
        <v>44469</v>
      </c>
      <c r="AX4" s="243">
        <f>EOMONTH(AW4,3)</f>
        <v>44561</v>
      </c>
      <c r="AY4" s="711">
        <f>AX4</f>
        <v>44561</v>
      </c>
      <c r="AZ4" s="243">
        <f>EOMONTH(AY4,3)</f>
        <v>44651</v>
      </c>
      <c r="BA4" s="243">
        <f>EOMONTH(AZ4,3)</f>
        <v>44742</v>
      </c>
      <c r="BB4" s="243">
        <f>EOMONTH(BA4,3)</f>
        <v>44834</v>
      </c>
      <c r="BC4" s="243">
        <f>EOMONTH(BB4,3)</f>
        <v>44926</v>
      </c>
      <c r="BD4" s="711">
        <f>BC4</f>
        <v>44926</v>
      </c>
      <c r="BE4" s="711">
        <f>EOMONTH(BD4,12)</f>
        <v>45291</v>
      </c>
      <c r="BF4" s="711">
        <f>EOMONTH(BE4,12)</f>
        <v>45657</v>
      </c>
      <c r="BG4" s="711">
        <f>EOMONTH(BF4,12)</f>
        <v>46022</v>
      </c>
      <c r="BH4" s="377"/>
    </row>
    <row r="5" spans="1:60" s="104" customFormat="1" x14ac:dyDescent="0.25">
      <c r="A5" s="166" t="str">
        <f>MO.ReportCurrency</f>
        <v>USD</v>
      </c>
      <c r="B5" s="634"/>
      <c r="C5" s="698" t="s">
        <v>12</v>
      </c>
      <c r="D5" s="707" t="str">
        <f>CONCATENATE("FY",RIGHT(C5,4)+1)</f>
        <v>FY2010</v>
      </c>
      <c r="E5" s="707" t="str">
        <f>CONCATENATE("FY",RIGHT(D5,4)+1)</f>
        <v>FY2011</v>
      </c>
      <c r="F5" s="707" t="str">
        <f>CONCATENATE("FY",RIGHT(E5,4)+1)</f>
        <v>FY2012</v>
      </c>
      <c r="G5" s="159" t="str">
        <f>CONCATENATE("Q1","-",RIGHT(F5,4)+1)</f>
        <v>Q1-2013</v>
      </c>
      <c r="H5" s="159" t="str">
        <f>CONCATENATE("Q2","-",RIGHT(G5,4))</f>
        <v>Q2-2013</v>
      </c>
      <c r="I5" s="159" t="str">
        <f>CONCATENATE("Q3","-",RIGHT(H5,4))</f>
        <v>Q3-2013</v>
      </c>
      <c r="J5" s="159" t="str">
        <f>CONCATENATE("Q4","-",RIGHT(I5,4))</f>
        <v>Q4-2013</v>
      </c>
      <c r="K5" s="707" t="str">
        <f>CONCATENATE("FY",RIGHT(F5,4)+1)</f>
        <v>FY2013</v>
      </c>
      <c r="L5" s="159" t="str">
        <f>CONCATENATE("Q1","-",RIGHT(K5,4)+1)</f>
        <v>Q1-2014</v>
      </c>
      <c r="M5" s="159" t="str">
        <f>CONCATENATE("Q2","-",RIGHT(L5,4))</f>
        <v>Q2-2014</v>
      </c>
      <c r="N5" s="159" t="str">
        <f>CONCATENATE("Q3","-",RIGHT(M5,4))</f>
        <v>Q3-2014</v>
      </c>
      <c r="O5" s="159" t="str">
        <f>CONCATENATE("Q4","-",RIGHT(N5,4))</f>
        <v>Q4-2014</v>
      </c>
      <c r="P5" s="707" t="str">
        <f>CONCATENATE("FY",RIGHT(K5,4)+1)</f>
        <v>FY2014</v>
      </c>
      <c r="Q5" s="159" t="str">
        <f>CONCATENATE("Q1","-",RIGHT(P5,4)+1)</f>
        <v>Q1-2015</v>
      </c>
      <c r="R5" s="159" t="str">
        <f>CONCATENATE("Q2","-",RIGHT(Q5,4))</f>
        <v>Q2-2015</v>
      </c>
      <c r="S5" s="159" t="str">
        <f>CONCATENATE("Q3","-",RIGHT(R5,4))</f>
        <v>Q3-2015</v>
      </c>
      <c r="T5" s="159" t="str">
        <f>CONCATENATE("Q4","-",RIGHT(S5,4))</f>
        <v>Q4-2015</v>
      </c>
      <c r="U5" s="707" t="str">
        <f>CONCATENATE("FY",RIGHT(P5,4)+1)</f>
        <v>FY2015</v>
      </c>
      <c r="V5" s="159" t="str">
        <f>CONCATENATE("Q1","-",RIGHT(U5,4)+1)</f>
        <v>Q1-2016</v>
      </c>
      <c r="W5" s="159" t="str">
        <f>CONCATENATE("Q2","-",RIGHT(V5,4))</f>
        <v>Q2-2016</v>
      </c>
      <c r="X5" s="159" t="str">
        <f>CONCATENATE("Q3","-",RIGHT(W5,4))</f>
        <v>Q3-2016</v>
      </c>
      <c r="Y5" s="176" t="str">
        <f>CONCATENATE("Q4","-",RIGHT(X5,4))</f>
        <v>Q4-2016</v>
      </c>
      <c r="Z5" s="709" t="str">
        <f>CONCATENATE("FY",RIGHT(U5,4)+1)</f>
        <v>FY2016</v>
      </c>
      <c r="AA5" s="176" t="str">
        <f>CONCATENATE("Q1","-",RIGHT(Z5,4)+1)</f>
        <v>Q1-2017</v>
      </c>
      <c r="AB5" s="159" t="str">
        <f>CONCATENATE("Q2","-",RIGHT(AA5,4))</f>
        <v>Q2-2017</v>
      </c>
      <c r="AC5" s="159" t="str">
        <f>CONCATENATE("Q3","-",RIGHT(AB5,4))</f>
        <v>Q3-2017</v>
      </c>
      <c r="AD5" s="176" t="str">
        <f>CONCATENATE("Q4","-",RIGHT(AC5,4))</f>
        <v>Q4-2017</v>
      </c>
      <c r="AE5" s="709" t="str">
        <f>CONCATENATE("FY",RIGHT(Z5,4)+1)</f>
        <v>FY2017</v>
      </c>
      <c r="AF5" s="176" t="str">
        <f>CONCATENATE("Q1","-",RIGHT(AE5,4)+1)</f>
        <v>Q1-2018</v>
      </c>
      <c r="AG5" s="159" t="str">
        <f>CONCATENATE("Q2","-",RIGHT(AF5,4))</f>
        <v>Q2-2018</v>
      </c>
      <c r="AH5" s="159" t="str">
        <f>CONCATENATE("Q3","-",RIGHT(AG5,4))</f>
        <v>Q3-2018</v>
      </c>
      <c r="AI5" s="176" t="str">
        <f>CONCATENATE("Q4","-",RIGHT(AH5,4))</f>
        <v>Q4-2018</v>
      </c>
      <c r="AJ5" s="709" t="str">
        <f>CONCATENATE("FY",RIGHT(AE5,4)+1)</f>
        <v>FY2018</v>
      </c>
      <c r="AK5" s="176" t="str">
        <f>CONCATENATE("Q1","-",RIGHT(AJ5,4)+1)</f>
        <v>Q1-2019</v>
      </c>
      <c r="AL5" s="159" t="str">
        <f>CONCATENATE("Q2","-",RIGHT(AK5,4))</f>
        <v>Q2-2019</v>
      </c>
      <c r="AM5" s="159" t="str">
        <f>CONCATENATE("Q3","-",RIGHT(AL5,4))</f>
        <v>Q3-2019</v>
      </c>
      <c r="AN5" s="176" t="str">
        <f>CONCATENATE("Q4","-",RIGHT(AM5,4))</f>
        <v>Q4-2019</v>
      </c>
      <c r="AO5" s="709" t="str">
        <f>CONCATENATE("FY",RIGHT(AJ5,4)+1)</f>
        <v>FY2019</v>
      </c>
      <c r="AP5" s="176" t="str">
        <f>CONCATENATE("Q1","-",RIGHT(AO5,4)+1)</f>
        <v>Q1-2020</v>
      </c>
      <c r="AQ5" s="159" t="str">
        <f>CONCATENATE("Q2","-",RIGHT(AP5,4))</f>
        <v>Q2-2020</v>
      </c>
      <c r="AR5" s="159" t="str">
        <f>CONCATENATE("Q3","-",RIGHT(AQ5,4))</f>
        <v>Q3-2020</v>
      </c>
      <c r="AS5" s="176" t="str">
        <f>CONCATENATE("Q4","-",RIGHT(AR5,4))</f>
        <v>Q4-2020</v>
      </c>
      <c r="AT5" s="709" t="str">
        <f>CONCATENATE("FY",RIGHT(AO5,4)+1)</f>
        <v>FY2020</v>
      </c>
      <c r="AU5" s="176" t="str">
        <f>CONCATENATE("Q1","-",RIGHT(AT5,4)+1)</f>
        <v>Q1-2021</v>
      </c>
      <c r="AV5" s="159" t="str">
        <f>CONCATENATE("Q2","-",RIGHT(AU5,4))</f>
        <v>Q2-2021</v>
      </c>
      <c r="AW5" s="790" t="str">
        <f>CONCATENATE("Q3","-",RIGHT(AV5,4))</f>
        <v>Q3-2021</v>
      </c>
      <c r="AX5" s="244" t="str">
        <f>CONCATENATE("Q4","-",RIGHT(AW5,4))</f>
        <v>Q4-2021</v>
      </c>
      <c r="AY5" s="712" t="str">
        <f>CONCATENATE("FY",RIGHT(AT5,4)+1)</f>
        <v>FY2021</v>
      </c>
      <c r="AZ5" s="244" t="str">
        <f>CONCATENATE("Q1","-",RIGHT(AY5,4)+1)</f>
        <v>Q1-2022</v>
      </c>
      <c r="BA5" s="244" t="str">
        <f>CONCATENATE("Q2","-",RIGHT(AZ5,4))</f>
        <v>Q2-2022</v>
      </c>
      <c r="BB5" s="244" t="str">
        <f>CONCATENATE("Q3","-",RIGHT(BA5,4))</f>
        <v>Q3-2022</v>
      </c>
      <c r="BC5" s="244" t="str">
        <f>CONCATENATE("Q4","-",RIGHT(BB5,4))</f>
        <v>Q4-2022</v>
      </c>
      <c r="BD5" s="712" t="str">
        <f>CONCATENATE("FY",RIGHT(AY5,4)+1)</f>
        <v>FY2022</v>
      </c>
      <c r="BE5" s="712" t="str">
        <f>CONCATENATE("FY",RIGHT(BD5,4)+1)</f>
        <v>FY2023</v>
      </c>
      <c r="BF5" s="712" t="str">
        <f>CONCATENATE("FY",RIGHT(BE5,4)+1)</f>
        <v>FY2024</v>
      </c>
      <c r="BG5" s="712" t="str">
        <f>CONCATENATE("FY",RIGHT(BF5,4)+1)</f>
        <v>FY2025</v>
      </c>
      <c r="BH5" s="357"/>
    </row>
    <row r="6" spans="1:60" s="114" customFormat="1" x14ac:dyDescent="0.25">
      <c r="A6" s="161" t="s">
        <v>701</v>
      </c>
      <c r="B6" s="161"/>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721"/>
      <c r="AX6" s="161"/>
      <c r="AY6" s="161"/>
      <c r="AZ6" s="161"/>
      <c r="BA6" s="161"/>
      <c r="BB6" s="161"/>
      <c r="BC6" s="161"/>
      <c r="BD6" s="161"/>
      <c r="BE6" s="161"/>
      <c r="BF6" s="161"/>
      <c r="BG6" s="161"/>
      <c r="BH6" s="365"/>
    </row>
    <row r="7" spans="1:60" s="356" customFormat="1" hidden="1" outlineLevel="1" x14ac:dyDescent="0.25">
      <c r="A7" s="526" t="str">
        <f>A54</f>
        <v>Model S/X production, units</v>
      </c>
      <c r="B7" s="577"/>
      <c r="C7" s="440"/>
      <c r="D7" s="440"/>
      <c r="E7" s="440"/>
      <c r="F7" s="440">
        <f t="shared" ref="F7:AK7" si="1">F54</f>
        <v>20000</v>
      </c>
      <c r="G7" s="439">
        <f t="shared" si="1"/>
        <v>5142.8571428571431</v>
      </c>
      <c r="H7" s="439">
        <f t="shared" si="1"/>
        <v>6500</v>
      </c>
      <c r="I7" s="439">
        <f t="shared" si="1"/>
        <v>7228.5714285714284</v>
      </c>
      <c r="J7" s="439">
        <f t="shared" si="1"/>
        <v>6587</v>
      </c>
      <c r="K7" s="440">
        <f t="shared" si="1"/>
        <v>25458.428571428572</v>
      </c>
      <c r="L7" s="439">
        <f t="shared" si="1"/>
        <v>7535</v>
      </c>
      <c r="M7" s="439">
        <f t="shared" si="1"/>
        <v>8763</v>
      </c>
      <c r="N7" s="439">
        <f t="shared" si="1"/>
        <v>7075</v>
      </c>
      <c r="O7" s="439">
        <f t="shared" si="1"/>
        <v>11627</v>
      </c>
      <c r="P7" s="440">
        <f t="shared" si="1"/>
        <v>35000</v>
      </c>
      <c r="Q7" s="439">
        <f t="shared" si="1"/>
        <v>11160</v>
      </c>
      <c r="R7" s="439">
        <f t="shared" si="1"/>
        <v>12807</v>
      </c>
      <c r="S7" s="439">
        <f t="shared" si="1"/>
        <v>13091</v>
      </c>
      <c r="T7" s="439">
        <f t="shared" si="1"/>
        <v>14037</v>
      </c>
      <c r="U7" s="440">
        <f t="shared" si="1"/>
        <v>51095</v>
      </c>
      <c r="V7" s="439">
        <f t="shared" si="1"/>
        <v>15510</v>
      </c>
      <c r="W7" s="439">
        <f t="shared" si="1"/>
        <v>18345</v>
      </c>
      <c r="X7" s="439">
        <f t="shared" si="1"/>
        <v>25185</v>
      </c>
      <c r="Y7" s="439">
        <f t="shared" si="1"/>
        <v>24882</v>
      </c>
      <c r="Z7" s="440">
        <f t="shared" si="1"/>
        <v>83922</v>
      </c>
      <c r="AA7" s="439">
        <f t="shared" si="1"/>
        <v>25418</v>
      </c>
      <c r="AB7" s="439">
        <f t="shared" si="1"/>
        <v>25708</v>
      </c>
      <c r="AC7" s="439">
        <f t="shared" si="1"/>
        <v>25336</v>
      </c>
      <c r="AD7" s="439">
        <f t="shared" si="1"/>
        <v>24565</v>
      </c>
      <c r="AE7" s="440">
        <f t="shared" si="1"/>
        <v>101027</v>
      </c>
      <c r="AF7" s="439">
        <f t="shared" si="1"/>
        <v>24728</v>
      </c>
      <c r="AG7" s="439">
        <f t="shared" si="1"/>
        <v>24761</v>
      </c>
      <c r="AH7" s="439">
        <f t="shared" si="1"/>
        <v>26903</v>
      </c>
      <c r="AI7" s="439">
        <f t="shared" si="1"/>
        <v>25161</v>
      </c>
      <c r="AJ7" s="440">
        <f t="shared" si="1"/>
        <v>101553</v>
      </c>
      <c r="AK7" s="439">
        <f t="shared" si="1"/>
        <v>14163</v>
      </c>
      <c r="AL7" s="439">
        <f t="shared" ref="AL7:BG7" si="2">AL54</f>
        <v>14517</v>
      </c>
      <c r="AM7" s="439">
        <f t="shared" si="2"/>
        <v>16318</v>
      </c>
      <c r="AN7" s="439">
        <f t="shared" si="2"/>
        <v>17933</v>
      </c>
      <c r="AO7" s="440">
        <f t="shared" si="2"/>
        <v>62931</v>
      </c>
      <c r="AP7" s="439">
        <f t="shared" si="2"/>
        <v>15390</v>
      </c>
      <c r="AQ7" s="439">
        <f t="shared" si="2"/>
        <v>6326</v>
      </c>
      <c r="AR7" s="439">
        <f t="shared" si="2"/>
        <v>16992</v>
      </c>
      <c r="AS7" s="439">
        <f t="shared" si="2"/>
        <v>16097</v>
      </c>
      <c r="AT7" s="440">
        <f t="shared" si="2"/>
        <v>54805</v>
      </c>
      <c r="AU7" s="439">
        <f t="shared" si="2"/>
        <v>0</v>
      </c>
      <c r="AV7" s="439">
        <f t="shared" si="2"/>
        <v>2340</v>
      </c>
      <c r="AW7" s="726">
        <f t="shared" si="2"/>
        <v>8941</v>
      </c>
      <c r="AX7" s="439">
        <f t="shared" si="2"/>
        <v>13109</v>
      </c>
      <c r="AY7" s="440">
        <f t="shared" si="2"/>
        <v>24390</v>
      </c>
      <c r="AZ7" s="439">
        <f t="shared" si="2"/>
        <v>12309.523809523811</v>
      </c>
      <c r="BA7" s="439">
        <f t="shared" si="2"/>
        <v>14863.750000000002</v>
      </c>
      <c r="BB7" s="439">
        <f t="shared" si="2"/>
        <v>17093.3125</v>
      </c>
      <c r="BC7" s="439">
        <f t="shared" si="2"/>
        <v>19657.309374999997</v>
      </c>
      <c r="BD7" s="440">
        <f t="shared" si="2"/>
        <v>63923.895684523814</v>
      </c>
      <c r="BE7" s="440">
        <f t="shared" si="2"/>
        <v>74729.799013157899</v>
      </c>
      <c r="BF7" s="440">
        <f t="shared" si="2"/>
        <v>82202.778914473703</v>
      </c>
      <c r="BG7" s="440">
        <f t="shared" si="2"/>
        <v>90423.056805921064</v>
      </c>
      <c r="BH7" s="361"/>
    </row>
    <row r="8" spans="1:60" s="356" customFormat="1" hidden="1" outlineLevel="1" x14ac:dyDescent="0.25">
      <c r="A8" s="526" t="str">
        <f>A57</f>
        <v>Model 3/Y production, units</v>
      </c>
      <c r="B8" s="577"/>
      <c r="C8" s="440"/>
      <c r="D8" s="440"/>
      <c r="E8" s="440"/>
      <c r="F8" s="440"/>
      <c r="G8" s="439"/>
      <c r="H8" s="439"/>
      <c r="I8" s="439"/>
      <c r="J8" s="439"/>
      <c r="K8" s="440"/>
      <c r="L8" s="439"/>
      <c r="M8" s="439"/>
      <c r="N8" s="439"/>
      <c r="O8" s="439"/>
      <c r="P8" s="440"/>
      <c r="Q8" s="439"/>
      <c r="R8" s="439"/>
      <c r="S8" s="439"/>
      <c r="T8" s="439"/>
      <c r="U8" s="440"/>
      <c r="V8" s="439"/>
      <c r="W8" s="439"/>
      <c r="X8" s="439"/>
      <c r="Y8" s="439"/>
      <c r="Z8" s="440"/>
      <c r="AA8" s="439"/>
      <c r="AB8" s="439"/>
      <c r="AC8" s="439"/>
      <c r="AD8" s="439"/>
      <c r="AE8" s="440"/>
      <c r="AF8" s="439">
        <f t="shared" ref="AF8:BG8" si="3">AF57</f>
        <v>9766</v>
      </c>
      <c r="AG8" s="439">
        <f t="shared" si="3"/>
        <v>28578</v>
      </c>
      <c r="AH8" s="439">
        <f t="shared" si="3"/>
        <v>53239</v>
      </c>
      <c r="AI8" s="439">
        <f t="shared" si="3"/>
        <v>61394</v>
      </c>
      <c r="AJ8" s="440">
        <f t="shared" si="3"/>
        <v>152977</v>
      </c>
      <c r="AK8" s="439">
        <f t="shared" si="3"/>
        <v>62975</v>
      </c>
      <c r="AL8" s="439">
        <f t="shared" si="3"/>
        <v>72531</v>
      </c>
      <c r="AM8" s="439">
        <f t="shared" si="3"/>
        <v>79837</v>
      </c>
      <c r="AN8" s="439">
        <f t="shared" si="3"/>
        <v>86958</v>
      </c>
      <c r="AO8" s="440">
        <f t="shared" si="3"/>
        <v>302301</v>
      </c>
      <c r="AP8" s="439">
        <f t="shared" si="3"/>
        <v>87282</v>
      </c>
      <c r="AQ8" s="439">
        <f t="shared" si="3"/>
        <v>75946</v>
      </c>
      <c r="AR8" s="439">
        <f t="shared" si="3"/>
        <v>128044</v>
      </c>
      <c r="AS8" s="439">
        <f t="shared" si="3"/>
        <v>163660</v>
      </c>
      <c r="AT8" s="440">
        <f t="shared" si="3"/>
        <v>454932</v>
      </c>
      <c r="AU8" s="439">
        <f t="shared" si="3"/>
        <v>180338</v>
      </c>
      <c r="AV8" s="439">
        <f t="shared" si="3"/>
        <v>204081</v>
      </c>
      <c r="AW8" s="726">
        <f t="shared" si="3"/>
        <v>228882</v>
      </c>
      <c r="AX8" s="439">
        <f t="shared" si="3"/>
        <v>292731</v>
      </c>
      <c r="AY8" s="440">
        <f t="shared" si="3"/>
        <v>906032</v>
      </c>
      <c r="AZ8" s="439">
        <f t="shared" si="3"/>
        <v>341377.5</v>
      </c>
      <c r="BA8" s="439">
        <f t="shared" si="3"/>
        <v>392584.12499999994</v>
      </c>
      <c r="BB8" s="439">
        <f t="shared" si="3"/>
        <v>451471.74374999991</v>
      </c>
      <c r="BC8" s="439">
        <f t="shared" si="3"/>
        <v>519192.50531249988</v>
      </c>
      <c r="BD8" s="440">
        <f t="shared" si="3"/>
        <v>1704625.8740624997</v>
      </c>
      <c r="BE8" s="440">
        <f t="shared" si="3"/>
        <v>1960319.7551718745</v>
      </c>
      <c r="BF8" s="440">
        <f t="shared" si="3"/>
        <v>2254367.7184476554</v>
      </c>
      <c r="BG8" s="440">
        <f t="shared" si="3"/>
        <v>2592522.8762148037</v>
      </c>
      <c r="BH8" s="361"/>
    </row>
    <row r="9" spans="1:60" s="356" customFormat="1" hidden="1" outlineLevel="1" x14ac:dyDescent="0.25">
      <c r="A9" s="466" t="str">
        <f>A60</f>
        <v>Cybertruck/Tesla Semi production, units</v>
      </c>
      <c r="B9" s="467"/>
      <c r="C9" s="479"/>
      <c r="D9" s="479"/>
      <c r="E9" s="479"/>
      <c r="F9" s="479"/>
      <c r="G9" s="459"/>
      <c r="H9" s="459"/>
      <c r="I9" s="459"/>
      <c r="J9" s="459"/>
      <c r="K9" s="479"/>
      <c r="L9" s="459"/>
      <c r="M9" s="459"/>
      <c r="N9" s="459"/>
      <c r="O9" s="459"/>
      <c r="P9" s="479"/>
      <c r="Q9" s="459"/>
      <c r="R9" s="459"/>
      <c r="S9" s="459"/>
      <c r="T9" s="459"/>
      <c r="U9" s="479"/>
      <c r="V9" s="459"/>
      <c r="W9" s="459"/>
      <c r="X9" s="459"/>
      <c r="Y9" s="459"/>
      <c r="Z9" s="479"/>
      <c r="AA9" s="459"/>
      <c r="AB9" s="459"/>
      <c r="AC9" s="459"/>
      <c r="AD9" s="459"/>
      <c r="AE9" s="479"/>
      <c r="AF9" s="459"/>
      <c r="AG9" s="459"/>
      <c r="AH9" s="459"/>
      <c r="AI9" s="459"/>
      <c r="AJ9" s="479"/>
      <c r="AK9" s="459"/>
      <c r="AL9" s="459"/>
      <c r="AM9" s="459"/>
      <c r="AN9" s="459"/>
      <c r="AO9" s="479"/>
      <c r="AP9" s="459"/>
      <c r="AQ9" s="459"/>
      <c r="AR9" s="459"/>
      <c r="AS9" s="459"/>
      <c r="AT9" s="479"/>
      <c r="AU9" s="459">
        <f t="shared" ref="AU9:BG9" si="4">AU60</f>
        <v>0</v>
      </c>
      <c r="AV9" s="459">
        <f t="shared" si="4"/>
        <v>0</v>
      </c>
      <c r="AW9" s="723">
        <f t="shared" si="4"/>
        <v>0</v>
      </c>
      <c r="AX9" s="459">
        <f t="shared" si="4"/>
        <v>0</v>
      </c>
      <c r="AY9" s="479">
        <f t="shared" si="4"/>
        <v>0</v>
      </c>
      <c r="AZ9" s="459">
        <f t="shared" si="4"/>
        <v>0</v>
      </c>
      <c r="BA9" s="459">
        <f t="shared" si="4"/>
        <v>0</v>
      </c>
      <c r="BB9" s="459">
        <f t="shared" si="4"/>
        <v>0</v>
      </c>
      <c r="BC9" s="459">
        <f t="shared" si="4"/>
        <v>0</v>
      </c>
      <c r="BD9" s="479">
        <f t="shared" si="4"/>
        <v>0</v>
      </c>
      <c r="BE9" s="479">
        <f t="shared" si="4"/>
        <v>19047.619047619046</v>
      </c>
      <c r="BF9" s="479">
        <f t="shared" si="4"/>
        <v>22000</v>
      </c>
      <c r="BG9" s="479">
        <f t="shared" si="4"/>
        <v>25473.68421052632</v>
      </c>
      <c r="BH9" s="361"/>
    </row>
    <row r="10" spans="1:60" s="116" customFormat="1" collapsed="1" x14ac:dyDescent="0.25">
      <c r="A10" s="436" t="s">
        <v>521</v>
      </c>
      <c r="B10" s="637"/>
      <c r="C10" s="438"/>
      <c r="D10" s="438"/>
      <c r="E10" s="438"/>
      <c r="F10" s="33">
        <f t="shared" ref="F10:AK10" si="5">F63</f>
        <v>20000</v>
      </c>
      <c r="G10" s="368">
        <f t="shared" si="5"/>
        <v>5142.8571428571431</v>
      </c>
      <c r="H10" s="368">
        <f t="shared" si="5"/>
        <v>6500</v>
      </c>
      <c r="I10" s="368">
        <f t="shared" si="5"/>
        <v>7228.5714285714284</v>
      </c>
      <c r="J10" s="368">
        <f t="shared" si="5"/>
        <v>6587</v>
      </c>
      <c r="K10" s="33">
        <f t="shared" si="5"/>
        <v>25458.428571428572</v>
      </c>
      <c r="L10" s="368">
        <f t="shared" si="5"/>
        <v>7535</v>
      </c>
      <c r="M10" s="368">
        <f t="shared" si="5"/>
        <v>8763</v>
      </c>
      <c r="N10" s="368">
        <f t="shared" si="5"/>
        <v>7075</v>
      </c>
      <c r="O10" s="368">
        <f t="shared" si="5"/>
        <v>11627</v>
      </c>
      <c r="P10" s="33">
        <f t="shared" si="5"/>
        <v>35000</v>
      </c>
      <c r="Q10" s="368">
        <f t="shared" si="5"/>
        <v>11160</v>
      </c>
      <c r="R10" s="368">
        <f t="shared" si="5"/>
        <v>12807</v>
      </c>
      <c r="S10" s="368">
        <f t="shared" si="5"/>
        <v>13091</v>
      </c>
      <c r="T10" s="368">
        <f t="shared" si="5"/>
        <v>14037</v>
      </c>
      <c r="U10" s="33">
        <f t="shared" si="5"/>
        <v>51095</v>
      </c>
      <c r="V10" s="368">
        <f t="shared" si="5"/>
        <v>15510</v>
      </c>
      <c r="W10" s="34">
        <f t="shared" si="5"/>
        <v>18345</v>
      </c>
      <c r="X10" s="34">
        <f t="shared" si="5"/>
        <v>25185</v>
      </c>
      <c r="Y10" s="368">
        <f t="shared" si="5"/>
        <v>24882</v>
      </c>
      <c r="Z10" s="33">
        <f t="shared" si="5"/>
        <v>83922</v>
      </c>
      <c r="AA10" s="368">
        <f t="shared" si="5"/>
        <v>25418</v>
      </c>
      <c r="AB10" s="34">
        <f t="shared" si="5"/>
        <v>25708</v>
      </c>
      <c r="AC10" s="34">
        <f t="shared" si="5"/>
        <v>25336</v>
      </c>
      <c r="AD10" s="368">
        <f t="shared" si="5"/>
        <v>24565</v>
      </c>
      <c r="AE10" s="33">
        <f t="shared" si="5"/>
        <v>101027</v>
      </c>
      <c r="AF10" s="368">
        <f t="shared" si="5"/>
        <v>34494</v>
      </c>
      <c r="AG10" s="34">
        <f t="shared" si="5"/>
        <v>53339</v>
      </c>
      <c r="AH10" s="34">
        <f t="shared" si="5"/>
        <v>80142</v>
      </c>
      <c r="AI10" s="368">
        <f t="shared" si="5"/>
        <v>86555</v>
      </c>
      <c r="AJ10" s="33">
        <f t="shared" si="5"/>
        <v>254530</v>
      </c>
      <c r="AK10" s="368">
        <f t="shared" si="5"/>
        <v>77138</v>
      </c>
      <c r="AL10" s="34">
        <f t="shared" ref="AL10:BG10" si="6">AL63</f>
        <v>87048</v>
      </c>
      <c r="AM10" s="34">
        <f t="shared" si="6"/>
        <v>96155</v>
      </c>
      <c r="AN10" s="368">
        <f t="shared" si="6"/>
        <v>104891</v>
      </c>
      <c r="AO10" s="33">
        <f t="shared" si="6"/>
        <v>365232</v>
      </c>
      <c r="AP10" s="368">
        <f t="shared" si="6"/>
        <v>102672</v>
      </c>
      <c r="AQ10" s="34">
        <f t="shared" si="6"/>
        <v>82272</v>
      </c>
      <c r="AR10" s="34">
        <f t="shared" si="6"/>
        <v>145036</v>
      </c>
      <c r="AS10" s="368">
        <f t="shared" si="6"/>
        <v>179757</v>
      </c>
      <c r="AT10" s="33">
        <f t="shared" si="6"/>
        <v>509737</v>
      </c>
      <c r="AU10" s="368">
        <f t="shared" si="6"/>
        <v>180338</v>
      </c>
      <c r="AV10" s="34">
        <f t="shared" si="6"/>
        <v>206421</v>
      </c>
      <c r="AW10" s="793">
        <f t="shared" si="6"/>
        <v>237823</v>
      </c>
      <c r="AX10" s="437">
        <f t="shared" si="6"/>
        <v>305840</v>
      </c>
      <c r="AY10" s="438">
        <f t="shared" si="6"/>
        <v>930422</v>
      </c>
      <c r="AZ10" s="437">
        <f t="shared" si="6"/>
        <v>353687.02380952379</v>
      </c>
      <c r="BA10" s="437">
        <f t="shared" si="6"/>
        <v>407447.87499999994</v>
      </c>
      <c r="BB10" s="437">
        <f t="shared" si="6"/>
        <v>468565.05624999991</v>
      </c>
      <c r="BC10" s="437">
        <f t="shared" si="6"/>
        <v>538849.81468749989</v>
      </c>
      <c r="BD10" s="438">
        <f t="shared" si="6"/>
        <v>1768549.7697470235</v>
      </c>
      <c r="BE10" s="438">
        <f t="shared" si="6"/>
        <v>2054097.1732326513</v>
      </c>
      <c r="BF10" s="438">
        <f t="shared" si="6"/>
        <v>2358570.4973621289</v>
      </c>
      <c r="BG10" s="438">
        <f t="shared" si="6"/>
        <v>2708419.6172312512</v>
      </c>
      <c r="BH10" s="368"/>
    </row>
    <row r="11" spans="1:60" s="574" customFormat="1" x14ac:dyDescent="0.25">
      <c r="A11" s="892" t="s">
        <v>711</v>
      </c>
      <c r="B11" s="641"/>
      <c r="C11" s="191"/>
      <c r="D11" s="191"/>
      <c r="E11" s="191"/>
      <c r="F11" s="191"/>
      <c r="G11" s="1004"/>
      <c r="H11" s="572">
        <f>H10/G10-1</f>
        <v>0.26388888888888884</v>
      </c>
      <c r="I11" s="572">
        <f>I10/H10-1</f>
        <v>0.11208791208791213</v>
      </c>
      <c r="J11" s="572">
        <f>J10/I10-1</f>
        <v>-8.8754940711462393E-2</v>
      </c>
      <c r="K11" s="191"/>
      <c r="L11" s="572">
        <f>L10/J10-1</f>
        <v>0.14391984211325348</v>
      </c>
      <c r="M11" s="572">
        <f>M10/L10-1</f>
        <v>0.16297279362972783</v>
      </c>
      <c r="N11" s="572">
        <f>N10/M10-1</f>
        <v>-0.19262809540111836</v>
      </c>
      <c r="O11" s="572">
        <f>O10/N10-1</f>
        <v>0.64339222614840996</v>
      </c>
      <c r="P11" s="191"/>
      <c r="Q11" s="572">
        <f>Q10/O10-1</f>
        <v>-4.0165132880364718E-2</v>
      </c>
      <c r="R11" s="572">
        <f>R10/Q10-1</f>
        <v>0.14758064516129021</v>
      </c>
      <c r="S11" s="572">
        <f>S10/R10-1</f>
        <v>2.2175372842976548E-2</v>
      </c>
      <c r="T11" s="572">
        <f>T10/S10-1</f>
        <v>7.2263387059812167E-2</v>
      </c>
      <c r="U11" s="191"/>
      <c r="V11" s="572">
        <f>V10/T10-1</f>
        <v>0.10493695234024369</v>
      </c>
      <c r="W11" s="573">
        <f>W10/V10-1</f>
        <v>0.18278529980657643</v>
      </c>
      <c r="X11" s="573">
        <f>X10/W10-1</f>
        <v>0.37285363859362231</v>
      </c>
      <c r="Y11" s="572">
        <f>Y10/X10-1</f>
        <v>-1.2030970815961828E-2</v>
      </c>
      <c r="Z11" s="191"/>
      <c r="AA11" s="572">
        <f>AA10/Y10-1</f>
        <v>2.1541676714090574E-2</v>
      </c>
      <c r="AB11" s="573">
        <f>AB10/AA10-1</f>
        <v>1.1409237548194229E-2</v>
      </c>
      <c r="AC11" s="573">
        <f>AC10/AB10-1</f>
        <v>-1.4470203827602335E-2</v>
      </c>
      <c r="AD11" s="572">
        <f>AD10/AC10-1</f>
        <v>-3.043100726239345E-2</v>
      </c>
      <c r="AE11" s="191"/>
      <c r="AF11" s="572">
        <f>AF10/AD10-1</f>
        <v>0.40419295745980044</v>
      </c>
      <c r="AG11" s="573">
        <f>AG10/AF10-1</f>
        <v>0.54632689743143725</v>
      </c>
      <c r="AH11" s="573">
        <f>AH10/AG10-1</f>
        <v>0.50250285907122372</v>
      </c>
      <c r="AI11" s="572">
        <f>AI10/AH10-1</f>
        <v>8.0020463676973463E-2</v>
      </c>
      <c r="AJ11" s="191"/>
      <c r="AK11" s="572">
        <f>AK10/AI10-1</f>
        <v>-0.10879787418404485</v>
      </c>
      <c r="AL11" s="573">
        <f>AL10/AK10-1</f>
        <v>0.12847105188104435</v>
      </c>
      <c r="AM11" s="573">
        <f>AM10/AL10-1</f>
        <v>0.10462043929785869</v>
      </c>
      <c r="AN11" s="572">
        <f>AN10/AM10-1</f>
        <v>9.085330976028283E-2</v>
      </c>
      <c r="AO11" s="191"/>
      <c r="AP11" s="572">
        <f>AP10/AN10-1</f>
        <v>-2.1155294543859782E-2</v>
      </c>
      <c r="AQ11" s="573">
        <f>AQ10/AP10-1</f>
        <v>-0.19869097709209915</v>
      </c>
      <c r="AR11" s="573">
        <f>AR10/AQ10-1</f>
        <v>0.76288409179307659</v>
      </c>
      <c r="AS11" s="572">
        <f>AS10/AR10-1</f>
        <v>0.23939573623100463</v>
      </c>
      <c r="AT11" s="191"/>
      <c r="AU11" s="572">
        <f>AU10/AS10-1</f>
        <v>3.2321411683551293E-3</v>
      </c>
      <c r="AV11" s="573">
        <f>AV10/AU10-1</f>
        <v>0.14463396510996018</v>
      </c>
      <c r="AW11" s="844">
        <f>AW10/AV10-1</f>
        <v>0.15212599493268608</v>
      </c>
      <c r="AX11" s="1004">
        <f>AX10/AW10-1</f>
        <v>0.28599841058266029</v>
      </c>
      <c r="AY11" s="191"/>
      <c r="AZ11" s="1004">
        <f>AZ10/AX10-1</f>
        <v>0.15644462401753789</v>
      </c>
      <c r="BA11" s="1004">
        <f>BA10/AZ10-1</f>
        <v>0.15200119758826314</v>
      </c>
      <c r="BB11" s="1004">
        <f>BB10/BA10-1</f>
        <v>0.14999999999999991</v>
      </c>
      <c r="BC11" s="1004">
        <f>BC10/BB10-1</f>
        <v>0.14999999999999991</v>
      </c>
      <c r="BD11" s="191"/>
      <c r="BE11" s="191"/>
      <c r="BF11" s="191"/>
      <c r="BG11" s="191"/>
      <c r="BH11" s="572"/>
    </row>
    <row r="12" spans="1:60" s="574" customFormat="1" x14ac:dyDescent="0.25">
      <c r="A12" s="892" t="s">
        <v>721</v>
      </c>
      <c r="B12" s="641"/>
      <c r="C12" s="191"/>
      <c r="D12" s="191"/>
      <c r="E12" s="191"/>
      <c r="F12" s="191"/>
      <c r="G12" s="1004"/>
      <c r="H12" s="1004"/>
      <c r="I12" s="1004"/>
      <c r="J12" s="1004"/>
      <c r="K12" s="571">
        <f t="shared" ref="K12:BD12" si="7">K10/F10-1</f>
        <v>0.27292142857142854</v>
      </c>
      <c r="L12" s="572">
        <f t="shared" si="7"/>
        <v>0.46513888888888877</v>
      </c>
      <c r="M12" s="572">
        <f t="shared" si="7"/>
        <v>0.34815384615384626</v>
      </c>
      <c r="N12" s="572">
        <f t="shared" si="7"/>
        <v>-2.1245059288537482E-2</v>
      </c>
      <c r="O12" s="572">
        <f t="shared" si="7"/>
        <v>0.76514346439957492</v>
      </c>
      <c r="P12" s="571">
        <f t="shared" si="7"/>
        <v>0.37479027434080203</v>
      </c>
      <c r="Q12" s="572">
        <f t="shared" si="7"/>
        <v>0.48108825481088258</v>
      </c>
      <c r="R12" s="572">
        <f t="shared" si="7"/>
        <v>0.46148579253680255</v>
      </c>
      <c r="S12" s="572">
        <f t="shared" si="7"/>
        <v>0.85031802120141342</v>
      </c>
      <c r="T12" s="572">
        <f t="shared" si="7"/>
        <v>0.20727616754106815</v>
      </c>
      <c r="U12" s="571">
        <f t="shared" si="7"/>
        <v>0.45985714285714296</v>
      </c>
      <c r="V12" s="572">
        <f t="shared" si="7"/>
        <v>0.38978494623655924</v>
      </c>
      <c r="W12" s="573">
        <f t="shared" si="7"/>
        <v>0.4324197704380417</v>
      </c>
      <c r="X12" s="573">
        <f t="shared" si="7"/>
        <v>0.92384080666106483</v>
      </c>
      <c r="Y12" s="572">
        <f t="shared" si="7"/>
        <v>0.77260098311605052</v>
      </c>
      <c r="Z12" s="571">
        <f t="shared" si="7"/>
        <v>0.64246990899305212</v>
      </c>
      <c r="AA12" s="572">
        <f t="shared" si="7"/>
        <v>0.63881366860090272</v>
      </c>
      <c r="AB12" s="573">
        <f t="shared" si="7"/>
        <v>0.40136276914690661</v>
      </c>
      <c r="AC12" s="573">
        <f t="shared" si="7"/>
        <v>5.9956323208258944E-3</v>
      </c>
      <c r="AD12" s="572">
        <f t="shared" si="7"/>
        <v>-1.2740133429788636E-2</v>
      </c>
      <c r="AE12" s="571">
        <f t="shared" si="7"/>
        <v>0.20382021400824568</v>
      </c>
      <c r="AF12" s="572">
        <f t="shared" si="7"/>
        <v>0.35706979306003617</v>
      </c>
      <c r="AG12" s="573">
        <f t="shared" si="7"/>
        <v>1.0748016181733311</v>
      </c>
      <c r="AH12" s="573">
        <f t="shared" si="7"/>
        <v>2.163167035048942</v>
      </c>
      <c r="AI12" s="572">
        <f t="shared" si="7"/>
        <v>2.5235090576022796</v>
      </c>
      <c r="AJ12" s="571">
        <f t="shared" si="7"/>
        <v>1.5194255001138308</v>
      </c>
      <c r="AK12" s="572">
        <f t="shared" si="7"/>
        <v>1.2362729750101469</v>
      </c>
      <c r="AL12" s="573">
        <f t="shared" si="7"/>
        <v>0.63197660248598586</v>
      </c>
      <c r="AM12" s="573">
        <f t="shared" si="7"/>
        <v>0.19980784108207938</v>
      </c>
      <c r="AN12" s="572">
        <f t="shared" si="7"/>
        <v>0.21184218127202348</v>
      </c>
      <c r="AO12" s="571">
        <f t="shared" si="7"/>
        <v>0.43492712057517768</v>
      </c>
      <c r="AP12" s="572">
        <f t="shared" si="7"/>
        <v>0.33101713811610356</v>
      </c>
      <c r="AQ12" s="573">
        <f t="shared" si="7"/>
        <v>-5.4866280672732248E-2</v>
      </c>
      <c r="AR12" s="573">
        <f t="shared" si="7"/>
        <v>0.50835629972440333</v>
      </c>
      <c r="AS12" s="572">
        <f t="shared" si="7"/>
        <v>0.71375046476818782</v>
      </c>
      <c r="AT12" s="571">
        <f t="shared" si="7"/>
        <v>0.39565262627590125</v>
      </c>
      <c r="AU12" s="572">
        <f t="shared" si="7"/>
        <v>0.75644771700171409</v>
      </c>
      <c r="AV12" s="573">
        <f t="shared" si="7"/>
        <v>1.5090067094515751</v>
      </c>
      <c r="AW12" s="844">
        <f t="shared" si="7"/>
        <v>0.63975150996993846</v>
      </c>
      <c r="AX12" s="1004">
        <f t="shared" si="7"/>
        <v>0.7014080119272128</v>
      </c>
      <c r="AY12" s="191">
        <f t="shared" si="7"/>
        <v>0.8252981439448186</v>
      </c>
      <c r="AZ12" s="1004">
        <f t="shared" si="7"/>
        <v>0.96124512753564861</v>
      </c>
      <c r="BA12" s="1004">
        <f t="shared" si="7"/>
        <v>0.97386833219488289</v>
      </c>
      <c r="BB12" s="1004">
        <f t="shared" si="7"/>
        <v>0.97022599264999565</v>
      </c>
      <c r="BC12" s="1004">
        <f t="shared" si="7"/>
        <v>0.76186834517231206</v>
      </c>
      <c r="BD12" s="191">
        <f t="shared" si="7"/>
        <v>0.90080390376304886</v>
      </c>
      <c r="BE12" s="191">
        <f>BE10/BD10-1</f>
        <v>0.16145850592967648</v>
      </c>
      <c r="BF12" s="191">
        <f>BF10/BE10-1</f>
        <v>0.14822732249337078</v>
      </c>
      <c r="BG12" s="191">
        <f>BG10/BF10-1</f>
        <v>0.14833099975616593</v>
      </c>
      <c r="BH12" s="572"/>
    </row>
    <row r="13" spans="1:60" s="116" customFormat="1" x14ac:dyDescent="0.25">
      <c r="A13" s="530"/>
      <c r="B13" s="637"/>
      <c r="C13" s="438"/>
      <c r="D13" s="438"/>
      <c r="E13" s="438"/>
      <c r="F13" s="438"/>
      <c r="G13" s="437"/>
      <c r="H13" s="437"/>
      <c r="I13" s="437"/>
      <c r="J13" s="437"/>
      <c r="K13" s="438"/>
      <c r="L13" s="437"/>
      <c r="M13" s="437"/>
      <c r="N13" s="437"/>
      <c r="O13" s="437"/>
      <c r="P13" s="438"/>
      <c r="Q13" s="437"/>
      <c r="R13" s="437"/>
      <c r="S13" s="437"/>
      <c r="T13" s="437"/>
      <c r="U13" s="438"/>
      <c r="V13" s="437"/>
      <c r="W13" s="437"/>
      <c r="X13" s="437"/>
      <c r="Y13" s="437"/>
      <c r="Z13" s="438"/>
      <c r="AA13" s="437"/>
      <c r="AB13" s="437"/>
      <c r="AC13" s="437"/>
      <c r="AD13" s="437"/>
      <c r="AE13" s="438"/>
      <c r="AF13" s="437"/>
      <c r="AG13" s="437"/>
      <c r="AH13" s="437"/>
      <c r="AI13" s="437"/>
      <c r="AJ13" s="438"/>
      <c r="AK13" s="437"/>
      <c r="AL13" s="437"/>
      <c r="AM13" s="437"/>
      <c r="AN13" s="437"/>
      <c r="AO13" s="438"/>
      <c r="AP13" s="437"/>
      <c r="AQ13" s="437"/>
      <c r="AR13" s="437"/>
      <c r="AS13" s="437"/>
      <c r="AT13" s="438"/>
      <c r="AU13" s="437"/>
      <c r="AV13" s="437"/>
      <c r="AW13" s="725"/>
      <c r="AX13" s="437"/>
      <c r="AY13" s="438"/>
      <c r="AZ13" s="437"/>
      <c r="BA13" s="437"/>
      <c r="BB13" s="437"/>
      <c r="BC13" s="437"/>
      <c r="BD13" s="438"/>
      <c r="BE13" s="438"/>
      <c r="BF13" s="438"/>
      <c r="BG13" s="438"/>
      <c r="BH13" s="368"/>
    </row>
    <row r="14" spans="1:60" s="356" customFormat="1" hidden="1" outlineLevel="1" x14ac:dyDescent="0.25">
      <c r="A14" s="526" t="str">
        <f>A90</f>
        <v>Model S and Model X Cars Delivered, units</v>
      </c>
      <c r="B14" s="577"/>
      <c r="C14" s="440"/>
      <c r="D14" s="440">
        <f t="shared" ref="D14:AI14" si="8">D90</f>
        <v>0</v>
      </c>
      <c r="E14" s="440">
        <f t="shared" si="8"/>
        <v>0</v>
      </c>
      <c r="F14" s="440">
        <f t="shared" si="8"/>
        <v>2650</v>
      </c>
      <c r="G14" s="439">
        <f t="shared" si="8"/>
        <v>4900</v>
      </c>
      <c r="H14" s="439">
        <f t="shared" si="8"/>
        <v>5150</v>
      </c>
      <c r="I14" s="439">
        <f t="shared" si="8"/>
        <v>5500</v>
      </c>
      <c r="J14" s="439">
        <f t="shared" si="8"/>
        <v>6892</v>
      </c>
      <c r="K14" s="440">
        <f t="shared" si="8"/>
        <v>22442</v>
      </c>
      <c r="L14" s="439">
        <f t="shared" si="8"/>
        <v>6457</v>
      </c>
      <c r="M14" s="439">
        <f t="shared" si="8"/>
        <v>7579</v>
      </c>
      <c r="N14" s="439">
        <f t="shared" si="8"/>
        <v>7785</v>
      </c>
      <c r="O14" s="439">
        <f t="shared" si="8"/>
        <v>9834</v>
      </c>
      <c r="P14" s="440">
        <f t="shared" si="8"/>
        <v>31655</v>
      </c>
      <c r="Q14" s="439">
        <f t="shared" si="8"/>
        <v>10045</v>
      </c>
      <c r="R14" s="439">
        <f t="shared" si="8"/>
        <v>11532</v>
      </c>
      <c r="S14" s="439">
        <f t="shared" si="8"/>
        <v>11603</v>
      </c>
      <c r="T14" s="439">
        <f t="shared" si="8"/>
        <v>17478</v>
      </c>
      <c r="U14" s="440">
        <f t="shared" si="8"/>
        <v>50658</v>
      </c>
      <c r="V14" s="439">
        <f t="shared" si="8"/>
        <v>14820</v>
      </c>
      <c r="W14" s="439">
        <f t="shared" si="8"/>
        <v>14402</v>
      </c>
      <c r="X14" s="439">
        <f t="shared" si="8"/>
        <v>24821</v>
      </c>
      <c r="Y14" s="439">
        <f t="shared" si="8"/>
        <v>22200</v>
      </c>
      <c r="Z14" s="440">
        <f t="shared" si="8"/>
        <v>76243</v>
      </c>
      <c r="AA14" s="439">
        <f t="shared" si="8"/>
        <v>25000</v>
      </c>
      <c r="AB14" s="439">
        <f t="shared" si="8"/>
        <v>22000</v>
      </c>
      <c r="AC14" s="439">
        <f t="shared" si="8"/>
        <v>25915</v>
      </c>
      <c r="AD14" s="439">
        <f t="shared" si="8"/>
        <v>28425</v>
      </c>
      <c r="AE14" s="440">
        <f t="shared" si="8"/>
        <v>101340</v>
      </c>
      <c r="AF14" s="439">
        <f t="shared" si="8"/>
        <v>21815</v>
      </c>
      <c r="AG14" s="439">
        <f t="shared" si="8"/>
        <v>22319</v>
      </c>
      <c r="AH14" s="439">
        <f t="shared" si="8"/>
        <v>27710</v>
      </c>
      <c r="AI14" s="439">
        <f t="shared" si="8"/>
        <v>27607</v>
      </c>
      <c r="AJ14" s="440">
        <f t="shared" ref="AJ14:BG14" si="9">AJ90</f>
        <v>99451</v>
      </c>
      <c r="AK14" s="439">
        <f t="shared" si="9"/>
        <v>12091</v>
      </c>
      <c r="AL14" s="439">
        <f t="shared" si="9"/>
        <v>17722</v>
      </c>
      <c r="AM14" s="439">
        <f t="shared" si="9"/>
        <v>17483</v>
      </c>
      <c r="AN14" s="439">
        <f t="shared" si="9"/>
        <v>19475</v>
      </c>
      <c r="AO14" s="440">
        <f t="shared" si="9"/>
        <v>66771</v>
      </c>
      <c r="AP14" s="439">
        <f t="shared" si="9"/>
        <v>12230</v>
      </c>
      <c r="AQ14" s="439">
        <f t="shared" si="9"/>
        <v>10614</v>
      </c>
      <c r="AR14" s="439">
        <f t="shared" si="9"/>
        <v>15275</v>
      </c>
      <c r="AS14" s="439">
        <f t="shared" si="9"/>
        <v>18966</v>
      </c>
      <c r="AT14" s="440">
        <f t="shared" si="9"/>
        <v>57085</v>
      </c>
      <c r="AU14" s="439">
        <f t="shared" si="9"/>
        <v>2030</v>
      </c>
      <c r="AV14" s="439">
        <f t="shared" si="9"/>
        <v>1895</v>
      </c>
      <c r="AW14" s="726">
        <f t="shared" si="9"/>
        <v>9289</v>
      </c>
      <c r="AX14" s="439">
        <f t="shared" si="9"/>
        <v>11750</v>
      </c>
      <c r="AY14" s="440">
        <f t="shared" si="9"/>
        <v>24964</v>
      </c>
      <c r="AZ14" s="439">
        <f t="shared" si="9"/>
        <v>12925.000000000002</v>
      </c>
      <c r="BA14" s="439">
        <f t="shared" si="9"/>
        <v>14863.750000000002</v>
      </c>
      <c r="BB14" s="439">
        <f t="shared" si="9"/>
        <v>17093.3125</v>
      </c>
      <c r="BC14" s="439">
        <f t="shared" si="9"/>
        <v>19657.309374999997</v>
      </c>
      <c r="BD14" s="440">
        <f t="shared" si="9"/>
        <v>64539.371874999997</v>
      </c>
      <c r="BE14" s="440">
        <f t="shared" si="9"/>
        <v>70993.309062500004</v>
      </c>
      <c r="BF14" s="440">
        <f t="shared" si="9"/>
        <v>78092.639968750009</v>
      </c>
      <c r="BG14" s="440">
        <f t="shared" si="9"/>
        <v>85901.90396562501</v>
      </c>
      <c r="BH14" s="361"/>
    </row>
    <row r="15" spans="1:60" s="356" customFormat="1" hidden="1" outlineLevel="1" x14ac:dyDescent="0.25">
      <c r="A15" s="526" t="str">
        <f>A93</f>
        <v>Model 3 and Model Y Cars Delivered, units</v>
      </c>
      <c r="B15" s="577"/>
      <c r="C15" s="440"/>
      <c r="D15" s="440">
        <f t="shared" ref="D15:AI15" si="10">D93</f>
        <v>0</v>
      </c>
      <c r="E15" s="440">
        <f t="shared" si="10"/>
        <v>0</v>
      </c>
      <c r="F15" s="440">
        <f t="shared" si="10"/>
        <v>0</v>
      </c>
      <c r="G15" s="439">
        <f t="shared" si="10"/>
        <v>0</v>
      </c>
      <c r="H15" s="439">
        <f t="shared" si="10"/>
        <v>0</v>
      </c>
      <c r="I15" s="439">
        <f t="shared" si="10"/>
        <v>0</v>
      </c>
      <c r="J15" s="439">
        <f t="shared" si="10"/>
        <v>0</v>
      </c>
      <c r="K15" s="440">
        <f t="shared" si="10"/>
        <v>0</v>
      </c>
      <c r="L15" s="439">
        <f t="shared" si="10"/>
        <v>0</v>
      </c>
      <c r="M15" s="439">
        <f t="shared" si="10"/>
        <v>0</v>
      </c>
      <c r="N15" s="439">
        <f t="shared" si="10"/>
        <v>0</v>
      </c>
      <c r="O15" s="439">
        <f t="shared" si="10"/>
        <v>0</v>
      </c>
      <c r="P15" s="440">
        <f t="shared" si="10"/>
        <v>0</v>
      </c>
      <c r="Q15" s="439">
        <f t="shared" si="10"/>
        <v>0</v>
      </c>
      <c r="R15" s="439">
        <f t="shared" si="10"/>
        <v>0</v>
      </c>
      <c r="S15" s="439">
        <f t="shared" si="10"/>
        <v>0</v>
      </c>
      <c r="T15" s="439">
        <f t="shared" si="10"/>
        <v>0</v>
      </c>
      <c r="U15" s="440">
        <f t="shared" si="10"/>
        <v>0</v>
      </c>
      <c r="V15" s="439">
        <f t="shared" si="10"/>
        <v>0</v>
      </c>
      <c r="W15" s="439">
        <f t="shared" si="10"/>
        <v>0</v>
      </c>
      <c r="X15" s="439">
        <f t="shared" si="10"/>
        <v>0</v>
      </c>
      <c r="Y15" s="439">
        <f t="shared" si="10"/>
        <v>0</v>
      </c>
      <c r="Z15" s="440">
        <f t="shared" si="10"/>
        <v>0</v>
      </c>
      <c r="AA15" s="439">
        <f t="shared" si="10"/>
        <v>0</v>
      </c>
      <c r="AB15" s="439">
        <f t="shared" si="10"/>
        <v>0</v>
      </c>
      <c r="AC15" s="439">
        <f t="shared" si="10"/>
        <v>222</v>
      </c>
      <c r="AD15" s="439">
        <f t="shared" si="10"/>
        <v>1542</v>
      </c>
      <c r="AE15" s="440">
        <f t="shared" si="10"/>
        <v>1764</v>
      </c>
      <c r="AF15" s="439">
        <f t="shared" si="10"/>
        <v>8182</v>
      </c>
      <c r="AG15" s="439">
        <f t="shared" si="10"/>
        <v>18449</v>
      </c>
      <c r="AH15" s="439">
        <f t="shared" si="10"/>
        <v>56065</v>
      </c>
      <c r="AI15" s="439">
        <f t="shared" si="10"/>
        <v>63359</v>
      </c>
      <c r="AJ15" s="440">
        <f t="shared" ref="AJ15:BG15" si="11">AJ93</f>
        <v>146055</v>
      </c>
      <c r="AK15" s="439">
        <f t="shared" si="11"/>
        <v>50928</v>
      </c>
      <c r="AL15" s="439">
        <f t="shared" si="11"/>
        <v>77634</v>
      </c>
      <c r="AM15" s="439">
        <f t="shared" si="11"/>
        <v>79703</v>
      </c>
      <c r="AN15" s="439">
        <f t="shared" si="11"/>
        <v>92620</v>
      </c>
      <c r="AO15" s="440">
        <f t="shared" si="11"/>
        <v>300885</v>
      </c>
      <c r="AP15" s="439">
        <f t="shared" si="11"/>
        <v>76266</v>
      </c>
      <c r="AQ15" s="439">
        <f t="shared" si="11"/>
        <v>80277</v>
      </c>
      <c r="AR15" s="439">
        <f t="shared" si="11"/>
        <v>124318</v>
      </c>
      <c r="AS15" s="439">
        <f t="shared" si="11"/>
        <v>161701</v>
      </c>
      <c r="AT15" s="440">
        <f t="shared" si="11"/>
        <v>442562</v>
      </c>
      <c r="AU15" s="439">
        <f t="shared" si="11"/>
        <v>182847</v>
      </c>
      <c r="AV15" s="439">
        <f t="shared" si="11"/>
        <v>199409</v>
      </c>
      <c r="AW15" s="726">
        <f t="shared" si="11"/>
        <v>232102</v>
      </c>
      <c r="AX15" s="439">
        <f t="shared" si="11"/>
        <v>296850</v>
      </c>
      <c r="AY15" s="440">
        <f t="shared" si="11"/>
        <v>911208</v>
      </c>
      <c r="AZ15" s="439">
        <f t="shared" si="11"/>
        <v>341377.5</v>
      </c>
      <c r="BA15" s="439">
        <f t="shared" si="11"/>
        <v>392584.12499999994</v>
      </c>
      <c r="BB15" s="439">
        <f t="shared" si="11"/>
        <v>451471.74374999991</v>
      </c>
      <c r="BC15" s="439">
        <f t="shared" si="11"/>
        <v>519192.50531249988</v>
      </c>
      <c r="BD15" s="440">
        <f t="shared" si="11"/>
        <v>1704625.8740624997</v>
      </c>
      <c r="BE15" s="440">
        <f t="shared" si="11"/>
        <v>1960319.7551718745</v>
      </c>
      <c r="BF15" s="440">
        <f t="shared" si="11"/>
        <v>2254367.7184476554</v>
      </c>
      <c r="BG15" s="440">
        <f t="shared" si="11"/>
        <v>2592522.8762148037</v>
      </c>
      <c r="BH15" s="361"/>
    </row>
    <row r="16" spans="1:60" s="356" customFormat="1" hidden="1" outlineLevel="1" x14ac:dyDescent="0.25">
      <c r="A16" s="466" t="str">
        <f>A96</f>
        <v>Trucks Delivered, units</v>
      </c>
      <c r="B16" s="467"/>
      <c r="C16" s="479"/>
      <c r="D16" s="479">
        <f t="shared" ref="D16:AI16" si="12">D96</f>
        <v>0</v>
      </c>
      <c r="E16" s="479">
        <f t="shared" si="12"/>
        <v>0</v>
      </c>
      <c r="F16" s="479">
        <f t="shared" si="12"/>
        <v>0</v>
      </c>
      <c r="G16" s="459">
        <f t="shared" si="12"/>
        <v>0</v>
      </c>
      <c r="H16" s="459">
        <f t="shared" si="12"/>
        <v>0</v>
      </c>
      <c r="I16" s="459">
        <f t="shared" si="12"/>
        <v>0</v>
      </c>
      <c r="J16" s="459">
        <f t="shared" si="12"/>
        <v>0</v>
      </c>
      <c r="K16" s="479">
        <f t="shared" si="12"/>
        <v>0</v>
      </c>
      <c r="L16" s="459">
        <f t="shared" si="12"/>
        <v>0</v>
      </c>
      <c r="M16" s="459">
        <f t="shared" si="12"/>
        <v>0</v>
      </c>
      <c r="N16" s="459">
        <f t="shared" si="12"/>
        <v>0</v>
      </c>
      <c r="O16" s="459">
        <f t="shared" si="12"/>
        <v>0</v>
      </c>
      <c r="P16" s="479">
        <f t="shared" si="12"/>
        <v>0</v>
      </c>
      <c r="Q16" s="459">
        <f t="shared" si="12"/>
        <v>0</v>
      </c>
      <c r="R16" s="459">
        <f t="shared" si="12"/>
        <v>0</v>
      </c>
      <c r="S16" s="459">
        <f t="shared" si="12"/>
        <v>0</v>
      </c>
      <c r="T16" s="459">
        <f t="shared" si="12"/>
        <v>0</v>
      </c>
      <c r="U16" s="479">
        <f t="shared" si="12"/>
        <v>0</v>
      </c>
      <c r="V16" s="459">
        <f t="shared" si="12"/>
        <v>0</v>
      </c>
      <c r="W16" s="459">
        <f t="shared" si="12"/>
        <v>0</v>
      </c>
      <c r="X16" s="459">
        <f t="shared" si="12"/>
        <v>0</v>
      </c>
      <c r="Y16" s="459">
        <f t="shared" si="12"/>
        <v>0</v>
      </c>
      <c r="Z16" s="479">
        <f t="shared" si="12"/>
        <v>0</v>
      </c>
      <c r="AA16" s="459">
        <f t="shared" si="12"/>
        <v>0</v>
      </c>
      <c r="AB16" s="459">
        <f t="shared" si="12"/>
        <v>0</v>
      </c>
      <c r="AC16" s="459">
        <f t="shared" si="12"/>
        <v>0</v>
      </c>
      <c r="AD16" s="459">
        <f t="shared" si="12"/>
        <v>0</v>
      </c>
      <c r="AE16" s="479">
        <f t="shared" si="12"/>
        <v>0</v>
      </c>
      <c r="AF16" s="459">
        <f t="shared" si="12"/>
        <v>0</v>
      </c>
      <c r="AG16" s="459">
        <f t="shared" si="12"/>
        <v>0</v>
      </c>
      <c r="AH16" s="459">
        <f t="shared" si="12"/>
        <v>0</v>
      </c>
      <c r="AI16" s="459">
        <f t="shared" si="12"/>
        <v>0</v>
      </c>
      <c r="AJ16" s="479">
        <f t="shared" ref="AJ16:BG16" si="13">AJ96</f>
        <v>0</v>
      </c>
      <c r="AK16" s="459">
        <f t="shared" si="13"/>
        <v>0</v>
      </c>
      <c r="AL16" s="459">
        <f t="shared" si="13"/>
        <v>0</v>
      </c>
      <c r="AM16" s="459">
        <f t="shared" si="13"/>
        <v>0</v>
      </c>
      <c r="AN16" s="459">
        <f t="shared" si="13"/>
        <v>0</v>
      </c>
      <c r="AO16" s="479">
        <f t="shared" si="13"/>
        <v>0</v>
      </c>
      <c r="AP16" s="459">
        <f t="shared" si="13"/>
        <v>0</v>
      </c>
      <c r="AQ16" s="459">
        <f t="shared" si="13"/>
        <v>0</v>
      </c>
      <c r="AR16" s="459">
        <f t="shared" si="13"/>
        <v>0</v>
      </c>
      <c r="AS16" s="459">
        <f t="shared" si="13"/>
        <v>0</v>
      </c>
      <c r="AT16" s="479">
        <f t="shared" si="13"/>
        <v>0</v>
      </c>
      <c r="AU16" s="459">
        <f t="shared" si="13"/>
        <v>0</v>
      </c>
      <c r="AV16" s="459">
        <f t="shared" si="13"/>
        <v>0</v>
      </c>
      <c r="AW16" s="723">
        <f t="shared" si="13"/>
        <v>0</v>
      </c>
      <c r="AX16" s="459">
        <f t="shared" si="13"/>
        <v>0</v>
      </c>
      <c r="AY16" s="479">
        <f t="shared" si="13"/>
        <v>0</v>
      </c>
      <c r="AZ16" s="459">
        <f t="shared" si="13"/>
        <v>0</v>
      </c>
      <c r="BA16" s="459">
        <f t="shared" si="13"/>
        <v>0</v>
      </c>
      <c r="BB16" s="459">
        <f t="shared" si="13"/>
        <v>0</v>
      </c>
      <c r="BC16" s="459">
        <f t="shared" si="13"/>
        <v>0</v>
      </c>
      <c r="BD16" s="479">
        <f t="shared" si="13"/>
        <v>0</v>
      </c>
      <c r="BE16" s="479">
        <f t="shared" si="13"/>
        <v>20000</v>
      </c>
      <c r="BF16" s="479">
        <f t="shared" si="13"/>
        <v>22000</v>
      </c>
      <c r="BG16" s="479">
        <f t="shared" si="13"/>
        <v>24200.000000000004</v>
      </c>
      <c r="BH16" s="361"/>
    </row>
    <row r="17" spans="1:60" s="116" customFormat="1" collapsed="1" x14ac:dyDescent="0.25">
      <c r="A17" s="436" t="s">
        <v>25</v>
      </c>
      <c r="B17" s="637"/>
      <c r="C17" s="438"/>
      <c r="D17" s="33">
        <f t="shared" ref="D17:AI17" si="14">D99</f>
        <v>1500</v>
      </c>
      <c r="E17" s="33">
        <f t="shared" si="14"/>
        <v>650</v>
      </c>
      <c r="F17" s="33">
        <f t="shared" si="14"/>
        <v>3150</v>
      </c>
      <c r="G17" s="368">
        <f t="shared" si="14"/>
        <v>4900</v>
      </c>
      <c r="H17" s="368">
        <f t="shared" si="14"/>
        <v>5150</v>
      </c>
      <c r="I17" s="368">
        <f t="shared" si="14"/>
        <v>5500</v>
      </c>
      <c r="J17" s="368">
        <f t="shared" si="14"/>
        <v>6892</v>
      </c>
      <c r="K17" s="33">
        <f t="shared" si="14"/>
        <v>22442</v>
      </c>
      <c r="L17" s="368">
        <f t="shared" si="14"/>
        <v>6457</v>
      </c>
      <c r="M17" s="368">
        <f t="shared" si="14"/>
        <v>7579</v>
      </c>
      <c r="N17" s="368">
        <f t="shared" si="14"/>
        <v>7785</v>
      </c>
      <c r="O17" s="368">
        <f t="shared" si="14"/>
        <v>9834</v>
      </c>
      <c r="P17" s="33">
        <f t="shared" si="14"/>
        <v>31655</v>
      </c>
      <c r="Q17" s="368">
        <f t="shared" si="14"/>
        <v>10045</v>
      </c>
      <c r="R17" s="368">
        <f t="shared" si="14"/>
        <v>11532</v>
      </c>
      <c r="S17" s="368">
        <f t="shared" si="14"/>
        <v>11603</v>
      </c>
      <c r="T17" s="368">
        <f t="shared" si="14"/>
        <v>17478</v>
      </c>
      <c r="U17" s="33">
        <f t="shared" si="14"/>
        <v>50658</v>
      </c>
      <c r="V17" s="368">
        <f t="shared" si="14"/>
        <v>14820</v>
      </c>
      <c r="W17" s="34">
        <f t="shared" si="14"/>
        <v>14402</v>
      </c>
      <c r="X17" s="34">
        <f t="shared" si="14"/>
        <v>24821</v>
      </c>
      <c r="Y17" s="368">
        <f t="shared" si="14"/>
        <v>22200</v>
      </c>
      <c r="Z17" s="33">
        <f t="shared" si="14"/>
        <v>76243</v>
      </c>
      <c r="AA17" s="368">
        <f t="shared" si="14"/>
        <v>25000</v>
      </c>
      <c r="AB17" s="34">
        <f t="shared" si="14"/>
        <v>22000</v>
      </c>
      <c r="AC17" s="34">
        <f t="shared" si="14"/>
        <v>26137</v>
      </c>
      <c r="AD17" s="368">
        <f t="shared" si="14"/>
        <v>29967</v>
      </c>
      <c r="AE17" s="33">
        <f t="shared" si="14"/>
        <v>103104</v>
      </c>
      <c r="AF17" s="368">
        <f t="shared" si="14"/>
        <v>29997</v>
      </c>
      <c r="AG17" s="34">
        <f t="shared" si="14"/>
        <v>40768</v>
      </c>
      <c r="AH17" s="34">
        <f t="shared" si="14"/>
        <v>83775</v>
      </c>
      <c r="AI17" s="368">
        <f t="shared" si="14"/>
        <v>90966</v>
      </c>
      <c r="AJ17" s="33">
        <f t="shared" ref="AJ17:BG17" si="15">AJ99</f>
        <v>245506</v>
      </c>
      <c r="AK17" s="368">
        <f t="shared" si="15"/>
        <v>63019</v>
      </c>
      <c r="AL17" s="34">
        <f t="shared" si="15"/>
        <v>95356</v>
      </c>
      <c r="AM17" s="34">
        <f t="shared" si="15"/>
        <v>97186</v>
      </c>
      <c r="AN17" s="368">
        <f t="shared" si="15"/>
        <v>112095</v>
      </c>
      <c r="AO17" s="33">
        <f t="shared" si="15"/>
        <v>367656</v>
      </c>
      <c r="AP17" s="368">
        <f t="shared" si="15"/>
        <v>88496</v>
      </c>
      <c r="AQ17" s="34">
        <f t="shared" si="15"/>
        <v>90891</v>
      </c>
      <c r="AR17" s="34">
        <f t="shared" si="15"/>
        <v>139593</v>
      </c>
      <c r="AS17" s="368">
        <f t="shared" si="15"/>
        <v>180667</v>
      </c>
      <c r="AT17" s="33">
        <f t="shared" si="15"/>
        <v>499647</v>
      </c>
      <c r="AU17" s="368">
        <f t="shared" si="15"/>
        <v>184877</v>
      </c>
      <c r="AV17" s="34">
        <f t="shared" si="15"/>
        <v>201304</v>
      </c>
      <c r="AW17" s="793">
        <f t="shared" si="15"/>
        <v>241391</v>
      </c>
      <c r="AX17" s="437">
        <f t="shared" si="15"/>
        <v>308600</v>
      </c>
      <c r="AY17" s="438">
        <f t="shared" si="15"/>
        <v>936172</v>
      </c>
      <c r="AZ17" s="437">
        <f t="shared" si="15"/>
        <v>354302.5</v>
      </c>
      <c r="BA17" s="437">
        <f t="shared" si="15"/>
        <v>407447.87499999994</v>
      </c>
      <c r="BB17" s="437">
        <f t="shared" si="15"/>
        <v>468565.05624999991</v>
      </c>
      <c r="BC17" s="437">
        <f t="shared" si="15"/>
        <v>538849.81468749989</v>
      </c>
      <c r="BD17" s="438">
        <f t="shared" si="15"/>
        <v>1769165.2459374997</v>
      </c>
      <c r="BE17" s="438">
        <f t="shared" si="15"/>
        <v>2051313.0642343746</v>
      </c>
      <c r="BF17" s="438">
        <f t="shared" si="15"/>
        <v>2354460.3584164055</v>
      </c>
      <c r="BG17" s="438">
        <f t="shared" si="15"/>
        <v>2702624.7801804286</v>
      </c>
      <c r="BH17" s="368"/>
    </row>
    <row r="18" spans="1:60" s="574" customFormat="1" x14ac:dyDescent="0.25">
      <c r="A18" s="372" t="s">
        <v>702</v>
      </c>
      <c r="B18" s="641"/>
      <c r="C18" s="191"/>
      <c r="D18" s="191"/>
      <c r="E18" s="191"/>
      <c r="F18" s="191"/>
      <c r="G18" s="1004"/>
      <c r="H18" s="572">
        <f>H17/G17-1</f>
        <v>5.1020408163265252E-2</v>
      </c>
      <c r="I18" s="572">
        <f>I17/H17-1</f>
        <v>6.7961165048543659E-2</v>
      </c>
      <c r="J18" s="572">
        <f>J17/I17-1</f>
        <v>0.25309090909090903</v>
      </c>
      <c r="K18" s="191"/>
      <c r="L18" s="572">
        <f>L17/J17-1</f>
        <v>-6.3116656993615794E-2</v>
      </c>
      <c r="M18" s="572">
        <f>M17/L17-1</f>
        <v>0.17376490630323671</v>
      </c>
      <c r="N18" s="572">
        <f>N17/M17-1</f>
        <v>2.7180366803008393E-2</v>
      </c>
      <c r="O18" s="572">
        <f>O17/N17-1</f>
        <v>0.26319845857418112</v>
      </c>
      <c r="P18" s="191"/>
      <c r="Q18" s="572">
        <f>Q17/O17-1</f>
        <v>2.1456172462883893E-2</v>
      </c>
      <c r="R18" s="572">
        <f>R17/Q17-1</f>
        <v>0.14803384768541572</v>
      </c>
      <c r="S18" s="572">
        <f>S17/R17-1</f>
        <v>6.1567811307665643E-3</v>
      </c>
      <c r="T18" s="572">
        <f>T17/S17-1</f>
        <v>0.50633456864603987</v>
      </c>
      <c r="U18" s="191"/>
      <c r="V18" s="572">
        <f>V17/T17-1</f>
        <v>-0.1520768966700996</v>
      </c>
      <c r="W18" s="573">
        <f>W17/V17-1</f>
        <v>-2.8205128205128216E-2</v>
      </c>
      <c r="X18" s="573">
        <f>X17/W17-1</f>
        <v>0.72344118872378838</v>
      </c>
      <c r="Y18" s="572">
        <f>Y17/X17-1</f>
        <v>-0.1055960678457758</v>
      </c>
      <c r="Z18" s="191"/>
      <c r="AA18" s="572">
        <f>AA17/Y17-1</f>
        <v>0.12612612612612617</v>
      </c>
      <c r="AB18" s="573">
        <f>AB17/AA17-1</f>
        <v>-0.12</v>
      </c>
      <c r="AC18" s="573">
        <f>AC17/AB17-1</f>
        <v>0.18804545454545463</v>
      </c>
      <c r="AD18" s="572">
        <f>AD17/AC17-1</f>
        <v>0.14653556261238854</v>
      </c>
      <c r="AE18" s="191"/>
      <c r="AF18" s="572">
        <f>AF17/AD17-1</f>
        <v>1.0011012113324558E-3</v>
      </c>
      <c r="AG18" s="573">
        <f>AG17/AF17-1</f>
        <v>0.35906924025735898</v>
      </c>
      <c r="AH18" s="573">
        <f>AH17/AG17-1</f>
        <v>1.0549205259026686</v>
      </c>
      <c r="AI18" s="572">
        <f>AI17/AH17-1</f>
        <v>8.5837063563115379E-2</v>
      </c>
      <c r="AJ18" s="191"/>
      <c r="AK18" s="572">
        <f>AK17/AI17-1</f>
        <v>-0.30722467735197767</v>
      </c>
      <c r="AL18" s="573">
        <f>AL17/AK17-1</f>
        <v>0.51313096050397489</v>
      </c>
      <c r="AM18" s="573">
        <f>AM17/AL17-1</f>
        <v>1.9191241243340817E-2</v>
      </c>
      <c r="AN18" s="572">
        <f>AN17/AM17-1</f>
        <v>0.15340686930216285</v>
      </c>
      <c r="AO18" s="191"/>
      <c r="AP18" s="572">
        <f>AP17/AN17-1</f>
        <v>-0.21052678531602653</v>
      </c>
      <c r="AQ18" s="573">
        <f>AQ17/AP17-1</f>
        <v>2.7063370095823602E-2</v>
      </c>
      <c r="AR18" s="573">
        <f>AR17/AQ17-1</f>
        <v>0.53582862989734958</v>
      </c>
      <c r="AS18" s="572">
        <f>AS17/AR17-1</f>
        <v>0.29424111524216823</v>
      </c>
      <c r="AT18" s="191"/>
      <c r="AU18" s="572">
        <f>AU17/AS17-1</f>
        <v>2.3302540032213992E-2</v>
      </c>
      <c r="AV18" s="573">
        <f>AV17/AU17-1</f>
        <v>8.8853670278076669E-2</v>
      </c>
      <c r="AW18" s="844">
        <f>AW17/AV17-1</f>
        <v>0.19913662917776098</v>
      </c>
      <c r="AX18" s="1004">
        <f>AX17/AW17-1</f>
        <v>0.27842380204730088</v>
      </c>
      <c r="AY18" s="191"/>
      <c r="AZ18" s="1004">
        <f>AZ17/AX17-1</f>
        <v>0.14809624108878805</v>
      </c>
      <c r="BA18" s="1004">
        <f>BA17/AZ17-1</f>
        <v>0.14999999999999991</v>
      </c>
      <c r="BB18" s="1004">
        <f>BB17/BA17-1</f>
        <v>0.14999999999999991</v>
      </c>
      <c r="BC18" s="1004">
        <f>BC17/BB17-1</f>
        <v>0.14999999999999991</v>
      </c>
      <c r="BD18" s="191"/>
      <c r="BE18" s="191"/>
      <c r="BF18" s="191"/>
      <c r="BG18" s="191"/>
      <c r="BH18" s="572"/>
    </row>
    <row r="19" spans="1:60" s="574" customFormat="1" x14ac:dyDescent="0.25">
      <c r="A19" s="372" t="s">
        <v>703</v>
      </c>
      <c r="B19" s="641"/>
      <c r="C19" s="191"/>
      <c r="D19" s="191"/>
      <c r="E19" s="571">
        <f>E17/D17-1</f>
        <v>-0.56666666666666665</v>
      </c>
      <c r="F19" s="571">
        <f>F17/E17-1</f>
        <v>3.8461538461538458</v>
      </c>
      <c r="G19" s="1004"/>
      <c r="H19" s="1004"/>
      <c r="I19" s="1004"/>
      <c r="J19" s="1004"/>
      <c r="K19" s="571">
        <f t="shared" ref="K19:BD19" si="16">K17/F17-1</f>
        <v>6.1244444444444444</v>
      </c>
      <c r="L19" s="572">
        <f t="shared" si="16"/>
        <v>0.31775510204081625</v>
      </c>
      <c r="M19" s="572">
        <f t="shared" si="16"/>
        <v>0.47165048543689325</v>
      </c>
      <c r="N19" s="572">
        <f t="shared" si="16"/>
        <v>0.41545454545454552</v>
      </c>
      <c r="O19" s="572">
        <f t="shared" si="16"/>
        <v>0.42687173534532796</v>
      </c>
      <c r="P19" s="571">
        <f t="shared" si="16"/>
        <v>0.41052490865341773</v>
      </c>
      <c r="Q19" s="572">
        <f t="shared" si="16"/>
        <v>0.55567601053120641</v>
      </c>
      <c r="R19" s="572">
        <f t="shared" si="16"/>
        <v>0.52157276685578569</v>
      </c>
      <c r="S19" s="572">
        <f t="shared" si="16"/>
        <v>0.49043031470777132</v>
      </c>
      <c r="T19" s="572">
        <f t="shared" si="16"/>
        <v>0.77730323367907261</v>
      </c>
      <c r="U19" s="571">
        <f t="shared" si="16"/>
        <v>0.60031590586005379</v>
      </c>
      <c r="V19" s="572">
        <f t="shared" si="16"/>
        <v>0.47536087605774013</v>
      </c>
      <c r="W19" s="573">
        <f t="shared" si="16"/>
        <v>0.24887270204647938</v>
      </c>
      <c r="X19" s="573">
        <f t="shared" si="16"/>
        <v>1.1391881409980176</v>
      </c>
      <c r="Y19" s="572">
        <f t="shared" si="16"/>
        <v>0.2701682114658428</v>
      </c>
      <c r="Z19" s="571">
        <f t="shared" si="16"/>
        <v>0.50505349599273552</v>
      </c>
      <c r="AA19" s="572">
        <f t="shared" si="16"/>
        <v>0.68690958164642368</v>
      </c>
      <c r="AB19" s="573">
        <f t="shared" si="16"/>
        <v>0.52756561588668238</v>
      </c>
      <c r="AC19" s="573">
        <f t="shared" si="16"/>
        <v>5.3019620482655849E-2</v>
      </c>
      <c r="AD19" s="572">
        <f t="shared" si="16"/>
        <v>0.34986486486486479</v>
      </c>
      <c r="AE19" s="571">
        <f t="shared" si="16"/>
        <v>0.35230775284288396</v>
      </c>
      <c r="AF19" s="572">
        <f t="shared" si="16"/>
        <v>0.19988000000000006</v>
      </c>
      <c r="AG19" s="573">
        <f t="shared" si="16"/>
        <v>0.85309090909090912</v>
      </c>
      <c r="AH19" s="573">
        <f t="shared" si="16"/>
        <v>2.205226307533382</v>
      </c>
      <c r="AI19" s="572">
        <f t="shared" si="16"/>
        <v>2.0355390930023027</v>
      </c>
      <c r="AJ19" s="571">
        <f t="shared" si="16"/>
        <v>1.3811491309745501</v>
      </c>
      <c r="AK19" s="572">
        <f t="shared" si="16"/>
        <v>1.100843417675101</v>
      </c>
      <c r="AL19" s="573">
        <f t="shared" si="16"/>
        <v>1.3389913657770802</v>
      </c>
      <c r="AM19" s="573">
        <f t="shared" si="16"/>
        <v>0.16008355714712019</v>
      </c>
      <c r="AN19" s="572">
        <f t="shared" si="16"/>
        <v>0.23227359672844794</v>
      </c>
      <c r="AO19" s="571">
        <f t="shared" si="16"/>
        <v>0.49754384821552233</v>
      </c>
      <c r="AP19" s="572">
        <f t="shared" si="16"/>
        <v>0.40427490122026688</v>
      </c>
      <c r="AQ19" s="573">
        <f t="shared" si="16"/>
        <v>-4.6824531230336808E-2</v>
      </c>
      <c r="AR19" s="573">
        <f t="shared" si="16"/>
        <v>0.43634885683123081</v>
      </c>
      <c r="AS19" s="572">
        <f t="shared" si="16"/>
        <v>0.611731120924216</v>
      </c>
      <c r="AT19" s="571">
        <f t="shared" si="16"/>
        <v>0.35900678895489269</v>
      </c>
      <c r="AU19" s="572">
        <f t="shared" si="16"/>
        <v>1.0891000723196527</v>
      </c>
      <c r="AV19" s="573">
        <f t="shared" si="16"/>
        <v>1.2147847421636904</v>
      </c>
      <c r="AW19" s="844">
        <f t="shared" si="16"/>
        <v>0.72924860129089564</v>
      </c>
      <c r="AX19" s="1004">
        <f t="shared" si="16"/>
        <v>0.70811492967725154</v>
      </c>
      <c r="AY19" s="191">
        <f t="shared" si="16"/>
        <v>0.87366680876698943</v>
      </c>
      <c r="AZ19" s="1004">
        <f t="shared" si="16"/>
        <v>0.91642281084180288</v>
      </c>
      <c r="BA19" s="1004">
        <f t="shared" si="16"/>
        <v>1.0240426171362711</v>
      </c>
      <c r="BB19" s="1004">
        <f t="shared" si="16"/>
        <v>0.94110408528072664</v>
      </c>
      <c r="BC19" s="1004">
        <f t="shared" si="16"/>
        <v>0.74611087066591031</v>
      </c>
      <c r="BD19" s="191">
        <f t="shared" si="16"/>
        <v>0.88978654129529589</v>
      </c>
      <c r="BE19" s="191">
        <f>BE17/BD17-1</f>
        <v>0.15948076017475787</v>
      </c>
      <c r="BF19" s="191">
        <f>BF17/BE17-1</f>
        <v>0.14778207162404855</v>
      </c>
      <c r="BG19" s="191">
        <f>BG17/BF17-1</f>
        <v>0.14787440379679873</v>
      </c>
      <c r="BH19" s="572"/>
    </row>
    <row r="20" spans="1:60" s="116" customFormat="1" hidden="1" outlineLevel="1" x14ac:dyDescent="0.25">
      <c r="A20" s="436" t="s">
        <v>705</v>
      </c>
      <c r="B20" s="637"/>
      <c r="C20" s="438"/>
      <c r="D20" s="438"/>
      <c r="E20" s="438"/>
      <c r="F20" s="438"/>
      <c r="G20" s="437"/>
      <c r="H20" s="437"/>
      <c r="I20" s="437"/>
      <c r="J20" s="437"/>
      <c r="K20" s="438"/>
      <c r="L20" s="437"/>
      <c r="M20" s="437"/>
      <c r="N20" s="437"/>
      <c r="O20" s="437"/>
      <c r="P20" s="438"/>
      <c r="Q20" s="437"/>
      <c r="R20" s="437"/>
      <c r="S20" s="437"/>
      <c r="T20" s="437"/>
      <c r="U20" s="438"/>
      <c r="V20" s="437"/>
      <c r="W20" s="437"/>
      <c r="X20" s="437"/>
      <c r="Y20" s="437"/>
      <c r="Z20" s="438"/>
      <c r="AA20" s="437"/>
      <c r="AB20" s="437"/>
      <c r="AC20" s="437"/>
      <c r="AD20" s="437"/>
      <c r="AE20" s="438"/>
      <c r="AF20" s="368">
        <f t="shared" ref="AF20:BG20" si="17">AF109</f>
        <v>27597.239999999998</v>
      </c>
      <c r="AG20" s="34">
        <f t="shared" si="17"/>
        <v>38414</v>
      </c>
      <c r="AH20" s="34">
        <f t="shared" si="17"/>
        <v>81215</v>
      </c>
      <c r="AI20" s="368">
        <f t="shared" si="17"/>
        <v>87327</v>
      </c>
      <c r="AJ20" s="33">
        <f t="shared" si="17"/>
        <v>234553.24</v>
      </c>
      <c r="AK20" s="368">
        <f t="shared" si="17"/>
        <v>61656</v>
      </c>
      <c r="AL20" s="34">
        <f t="shared" si="17"/>
        <v>89214</v>
      </c>
      <c r="AM20" s="34">
        <f t="shared" si="17"/>
        <v>88100</v>
      </c>
      <c r="AN20" s="368">
        <f t="shared" si="17"/>
        <v>103247</v>
      </c>
      <c r="AO20" s="33">
        <f t="shared" si="17"/>
        <v>342217</v>
      </c>
      <c r="AP20" s="368">
        <f t="shared" si="17"/>
        <v>82392</v>
      </c>
      <c r="AQ20" s="34">
        <f t="shared" si="17"/>
        <v>86175</v>
      </c>
      <c r="AR20" s="34">
        <f t="shared" si="17"/>
        <v>129579</v>
      </c>
      <c r="AS20" s="368">
        <f t="shared" si="17"/>
        <v>167031</v>
      </c>
      <c r="AT20" s="33">
        <f t="shared" si="17"/>
        <v>465177</v>
      </c>
      <c r="AU20" s="368">
        <f t="shared" si="17"/>
        <v>171275</v>
      </c>
      <c r="AV20" s="34">
        <f t="shared" si="17"/>
        <v>186812</v>
      </c>
      <c r="AW20" s="793">
        <f t="shared" si="17"/>
        <v>224733</v>
      </c>
      <c r="AX20" s="437">
        <f t="shared" si="17"/>
        <v>285347</v>
      </c>
      <c r="AY20" s="438">
        <f t="shared" si="17"/>
        <v>868167</v>
      </c>
      <c r="AZ20" s="437">
        <f t="shared" si="17"/>
        <v>327655.5</v>
      </c>
      <c r="BA20" s="437">
        <f t="shared" si="17"/>
        <v>376803.87499999994</v>
      </c>
      <c r="BB20" s="437">
        <f t="shared" si="17"/>
        <v>433324.05624999991</v>
      </c>
      <c r="BC20" s="437">
        <f t="shared" si="17"/>
        <v>498322.81468749989</v>
      </c>
      <c r="BD20" s="438">
        <f t="shared" si="17"/>
        <v>1636106.2459374997</v>
      </c>
      <c r="BE20" s="438">
        <f t="shared" si="17"/>
        <v>1898101.0642343746</v>
      </c>
      <c r="BF20" s="438">
        <f t="shared" si="17"/>
        <v>2178870.3584164055</v>
      </c>
      <c r="BG20" s="438">
        <f t="shared" si="17"/>
        <v>2501359.7801804286</v>
      </c>
      <c r="BH20" s="368"/>
    </row>
    <row r="21" spans="1:60" s="574" customFormat="1" hidden="1" outlineLevel="1" x14ac:dyDescent="0.25">
      <c r="A21" s="372" t="s">
        <v>704</v>
      </c>
      <c r="B21" s="641"/>
      <c r="C21" s="191"/>
      <c r="D21" s="191"/>
      <c r="E21" s="191"/>
      <c r="F21" s="191"/>
      <c r="G21" s="1004"/>
      <c r="H21" s="1004"/>
      <c r="I21" s="1004"/>
      <c r="J21" s="1004"/>
      <c r="K21" s="191"/>
      <c r="L21" s="1004"/>
      <c r="M21" s="1004"/>
      <c r="N21" s="1004"/>
      <c r="O21" s="1004"/>
      <c r="P21" s="191"/>
      <c r="Q21" s="1004"/>
      <c r="R21" s="1004"/>
      <c r="S21" s="1004"/>
      <c r="T21" s="1004"/>
      <c r="U21" s="191"/>
      <c r="V21" s="1004"/>
      <c r="W21" s="1004"/>
      <c r="X21" s="1004"/>
      <c r="Y21" s="1004"/>
      <c r="Z21" s="191"/>
      <c r="AA21" s="1004"/>
      <c r="AB21" s="1004"/>
      <c r="AC21" s="1004"/>
      <c r="AD21" s="1004"/>
      <c r="AE21" s="191"/>
      <c r="AF21" s="1004"/>
      <c r="AG21" s="573">
        <f>AG20/AF20-1</f>
        <v>0.39195078928182681</v>
      </c>
      <c r="AH21" s="573">
        <f>AH20/AG20-1</f>
        <v>1.1142031550997031</v>
      </c>
      <c r="AI21" s="572">
        <f>AI20/AH20-1</f>
        <v>7.5257033799174922E-2</v>
      </c>
      <c r="AJ21" s="191"/>
      <c r="AK21" s="572">
        <f>AK20/AI20-1</f>
        <v>-0.29396406609639625</v>
      </c>
      <c r="AL21" s="573">
        <f>AL20/AK20-1</f>
        <v>0.44696379914363571</v>
      </c>
      <c r="AM21" s="573">
        <f>AM20/AL20-1</f>
        <v>-1.2486829421391232E-2</v>
      </c>
      <c r="AN21" s="572">
        <f>AN20/AM20-1</f>
        <v>0.1719296254256526</v>
      </c>
      <c r="AO21" s="191"/>
      <c r="AP21" s="572">
        <f>AP20/AN20-1</f>
        <v>-0.20199134115276962</v>
      </c>
      <c r="AQ21" s="573">
        <f>AQ20/AP20-1</f>
        <v>4.5914651907952297E-2</v>
      </c>
      <c r="AR21" s="573">
        <f>AR20/AQ20-1</f>
        <v>0.50367275892080077</v>
      </c>
      <c r="AS21" s="572">
        <f>AS20/AR20-1</f>
        <v>0.2890283147732271</v>
      </c>
      <c r="AT21" s="191"/>
      <c r="AU21" s="572">
        <f>AU20/AS20-1</f>
        <v>2.5408457112751526E-2</v>
      </c>
      <c r="AV21" s="573">
        <f>AV20/AU20-1</f>
        <v>9.0713764413954179E-2</v>
      </c>
      <c r="AW21" s="844">
        <f>AW20/AV20-1</f>
        <v>0.20299017193756286</v>
      </c>
      <c r="AX21" s="1004">
        <f>AX20/AW20-1</f>
        <v>0.26971561808902123</v>
      </c>
      <c r="AY21" s="191"/>
      <c r="AZ21" s="1004">
        <f>AZ20/AX20-1</f>
        <v>0.1482703515369006</v>
      </c>
      <c r="BA21" s="1004">
        <f>BA20/AZ20-1</f>
        <v>0.1500001525993</v>
      </c>
      <c r="BB21" s="1004">
        <f>BB20/BA20-1</f>
        <v>0.14999893843979173</v>
      </c>
      <c r="BC21" s="1004">
        <f>BC20/BB20-1</f>
        <v>0.1500003461612569</v>
      </c>
      <c r="BD21" s="191"/>
      <c r="BE21" s="191"/>
      <c r="BF21" s="191"/>
      <c r="BG21" s="191"/>
      <c r="BH21" s="572"/>
    </row>
    <row r="22" spans="1:60" s="574" customFormat="1" hidden="1" outlineLevel="1" x14ac:dyDescent="0.25">
      <c r="A22" s="372" t="s">
        <v>706</v>
      </c>
      <c r="B22" s="641"/>
      <c r="C22" s="191"/>
      <c r="D22" s="191"/>
      <c r="E22" s="191"/>
      <c r="F22" s="191"/>
      <c r="G22" s="1004"/>
      <c r="H22" s="1004"/>
      <c r="I22" s="1004"/>
      <c r="J22" s="1004"/>
      <c r="K22" s="191"/>
      <c r="L22" s="1004"/>
      <c r="M22" s="1004"/>
      <c r="N22" s="1004"/>
      <c r="O22" s="1004"/>
      <c r="P22" s="191"/>
      <c r="Q22" s="1004"/>
      <c r="R22" s="1004"/>
      <c r="S22" s="1004"/>
      <c r="T22" s="1004"/>
      <c r="U22" s="191"/>
      <c r="V22" s="1004"/>
      <c r="W22" s="1004"/>
      <c r="X22" s="1004"/>
      <c r="Y22" s="1004"/>
      <c r="Z22" s="191"/>
      <c r="AA22" s="1004"/>
      <c r="AB22" s="1004"/>
      <c r="AC22" s="1004"/>
      <c r="AD22" s="1004"/>
      <c r="AE22" s="191"/>
      <c r="AF22" s="1004"/>
      <c r="AG22" s="1004"/>
      <c r="AH22" s="1004"/>
      <c r="AI22" s="1004"/>
      <c r="AJ22" s="191"/>
      <c r="AK22" s="572">
        <f t="shared" ref="AK22:BD22" si="18">AK20/AF20-1</f>
        <v>1.2341364571239732</v>
      </c>
      <c r="AL22" s="573">
        <f t="shared" si="18"/>
        <v>1.3224345290779405</v>
      </c>
      <c r="AM22" s="573">
        <f t="shared" si="18"/>
        <v>8.4774979991380839E-2</v>
      </c>
      <c r="AN22" s="572">
        <f t="shared" si="18"/>
        <v>0.18230329680396662</v>
      </c>
      <c r="AO22" s="571">
        <f t="shared" si="18"/>
        <v>0.4590162983892272</v>
      </c>
      <c r="AP22" s="572">
        <f t="shared" si="18"/>
        <v>0.33631763332035813</v>
      </c>
      <c r="AQ22" s="573">
        <f t="shared" si="18"/>
        <v>-3.4064160333579951E-2</v>
      </c>
      <c r="AR22" s="573">
        <f t="shared" si="18"/>
        <v>0.47081725312145295</v>
      </c>
      <c r="AS22" s="572">
        <f t="shared" si="18"/>
        <v>0.61778066190785208</v>
      </c>
      <c r="AT22" s="571">
        <f t="shared" si="18"/>
        <v>0.35930418418722621</v>
      </c>
      <c r="AU22" s="572">
        <f t="shared" si="18"/>
        <v>1.078781920574813</v>
      </c>
      <c r="AV22" s="573">
        <f t="shared" si="18"/>
        <v>1.1678212938787351</v>
      </c>
      <c r="AW22" s="844">
        <f t="shared" si="18"/>
        <v>0.73433195193665646</v>
      </c>
      <c r="AX22" s="1004">
        <f t="shared" si="18"/>
        <v>0.70834755225077983</v>
      </c>
      <c r="AY22" s="191">
        <f t="shared" si="18"/>
        <v>0.86631540252420036</v>
      </c>
      <c r="AZ22" s="1004">
        <f t="shared" si="18"/>
        <v>0.91303751277185818</v>
      </c>
      <c r="BA22" s="1004">
        <f t="shared" si="18"/>
        <v>1.0170217919619722</v>
      </c>
      <c r="BB22" s="1004">
        <f t="shared" si="18"/>
        <v>0.92817279282526344</v>
      </c>
      <c r="BC22" s="1004">
        <f t="shared" si="18"/>
        <v>0.74637481623251656</v>
      </c>
      <c r="BD22" s="191">
        <f t="shared" si="18"/>
        <v>0.88455244893839513</v>
      </c>
      <c r="BE22" s="191">
        <f>BE20/BD20-1</f>
        <v>0.16013313251961225</v>
      </c>
      <c r="BF22" s="191">
        <f>BF20/BE20-1</f>
        <v>0.14792115102431769</v>
      </c>
      <c r="BG22" s="191">
        <f>BG20/BF20-1</f>
        <v>0.14800762262808842</v>
      </c>
      <c r="BH22" s="572"/>
    </row>
    <row r="23" spans="1:60" s="116" customFormat="1" collapsed="1" x14ac:dyDescent="0.25">
      <c r="A23" s="530"/>
      <c r="B23" s="637"/>
      <c r="C23" s="438"/>
      <c r="D23" s="438"/>
      <c r="E23" s="438"/>
      <c r="F23" s="438"/>
      <c r="G23" s="437"/>
      <c r="H23" s="437"/>
      <c r="I23" s="437"/>
      <c r="J23" s="437"/>
      <c r="K23" s="438"/>
      <c r="L23" s="437"/>
      <c r="M23" s="437"/>
      <c r="N23" s="437"/>
      <c r="O23" s="437"/>
      <c r="P23" s="438"/>
      <c r="Q23" s="437"/>
      <c r="R23" s="437"/>
      <c r="S23" s="437"/>
      <c r="T23" s="437"/>
      <c r="U23" s="438"/>
      <c r="V23" s="437"/>
      <c r="W23" s="437"/>
      <c r="X23" s="437"/>
      <c r="Y23" s="437"/>
      <c r="Z23" s="438"/>
      <c r="AA23" s="437"/>
      <c r="AB23" s="437"/>
      <c r="AC23" s="437"/>
      <c r="AD23" s="437"/>
      <c r="AE23" s="438"/>
      <c r="AF23" s="437"/>
      <c r="AG23" s="437"/>
      <c r="AH23" s="437"/>
      <c r="AI23" s="437"/>
      <c r="AJ23" s="438"/>
      <c r="AK23" s="437"/>
      <c r="AL23" s="437"/>
      <c r="AM23" s="437"/>
      <c r="AN23" s="437"/>
      <c r="AO23" s="438"/>
      <c r="AP23" s="437"/>
      <c r="AQ23" s="437"/>
      <c r="AR23" s="437"/>
      <c r="AS23" s="437"/>
      <c r="AT23" s="438"/>
      <c r="AU23" s="437"/>
      <c r="AV23" s="437"/>
      <c r="AW23" s="725"/>
      <c r="AX23" s="437"/>
      <c r="AY23" s="438"/>
      <c r="AZ23" s="437"/>
      <c r="BA23" s="437"/>
      <c r="BB23" s="437"/>
      <c r="BC23" s="437"/>
      <c r="BD23" s="438"/>
      <c r="BE23" s="438"/>
      <c r="BF23" s="438"/>
      <c r="BG23" s="438"/>
      <c r="BH23" s="368"/>
    </row>
    <row r="24" spans="1:60" s="356" customFormat="1" x14ac:dyDescent="0.25">
      <c r="A24" s="554" t="s">
        <v>602</v>
      </c>
      <c r="B24" s="577"/>
      <c r="C24" s="440"/>
      <c r="D24" s="440"/>
      <c r="E24" s="440"/>
      <c r="F24" s="440"/>
      <c r="G24" s="439"/>
      <c r="H24" s="439"/>
      <c r="I24" s="439"/>
      <c r="J24" s="439"/>
      <c r="K24" s="440"/>
      <c r="L24" s="439"/>
      <c r="M24" s="439"/>
      <c r="N24" s="439"/>
      <c r="O24" s="439"/>
      <c r="P24" s="440"/>
      <c r="Q24" s="439"/>
      <c r="R24" s="439"/>
      <c r="S24" s="439"/>
      <c r="T24" s="439"/>
      <c r="U24" s="440"/>
      <c r="V24" s="439"/>
      <c r="W24" s="439"/>
      <c r="X24" s="439"/>
      <c r="Y24" s="439"/>
      <c r="Z24" s="440"/>
      <c r="AA24" s="439"/>
      <c r="AB24" s="439"/>
      <c r="AC24" s="439"/>
      <c r="AD24" s="439"/>
      <c r="AE24" s="440"/>
      <c r="AF24" s="439">
        <f t="shared" ref="AF24:AW24" si="19">AF85</f>
        <v>0</v>
      </c>
      <c r="AG24" s="439">
        <f t="shared" si="19"/>
        <v>30</v>
      </c>
      <c r="AH24" s="439">
        <f t="shared" si="19"/>
        <v>31</v>
      </c>
      <c r="AI24" s="439">
        <f t="shared" si="19"/>
        <v>19</v>
      </c>
      <c r="AJ24" s="440">
        <f t="shared" si="19"/>
        <v>19</v>
      </c>
      <c r="AK24" s="439">
        <f t="shared" si="19"/>
        <v>30</v>
      </c>
      <c r="AL24" s="439">
        <f t="shared" si="19"/>
        <v>18</v>
      </c>
      <c r="AM24" s="439">
        <f t="shared" si="19"/>
        <v>17</v>
      </c>
      <c r="AN24" s="439">
        <f t="shared" si="19"/>
        <v>11</v>
      </c>
      <c r="AO24" s="440">
        <f t="shared" si="19"/>
        <v>11</v>
      </c>
      <c r="AP24" s="439">
        <f t="shared" si="19"/>
        <v>25</v>
      </c>
      <c r="AQ24" s="439">
        <f t="shared" si="19"/>
        <v>17</v>
      </c>
      <c r="AR24" s="439">
        <f t="shared" si="19"/>
        <v>14</v>
      </c>
      <c r="AS24" s="439">
        <f t="shared" si="19"/>
        <v>11</v>
      </c>
      <c r="AT24" s="440">
        <f t="shared" si="19"/>
        <v>11</v>
      </c>
      <c r="AU24" s="439">
        <f t="shared" si="19"/>
        <v>8</v>
      </c>
      <c r="AV24" s="439">
        <f t="shared" si="19"/>
        <v>9</v>
      </c>
      <c r="AW24" s="726">
        <f t="shared" si="19"/>
        <v>6</v>
      </c>
      <c r="AX24" s="439"/>
      <c r="AY24" s="440"/>
      <c r="AZ24" s="439"/>
      <c r="BA24" s="439"/>
      <c r="BB24" s="439"/>
      <c r="BC24" s="439"/>
      <c r="BD24" s="440"/>
      <c r="BE24" s="440"/>
      <c r="BF24" s="440"/>
      <c r="BG24" s="440"/>
      <c r="BH24" s="361"/>
    </row>
    <row r="25" spans="1:60" s="116" customFormat="1" x14ac:dyDescent="0.25">
      <c r="A25" s="530"/>
      <c r="B25" s="637"/>
      <c r="C25" s="438"/>
      <c r="D25" s="438"/>
      <c r="E25" s="438"/>
      <c r="F25" s="438"/>
      <c r="G25" s="437"/>
      <c r="H25" s="437"/>
      <c r="I25" s="437"/>
      <c r="J25" s="437"/>
      <c r="K25" s="438"/>
      <c r="L25" s="437"/>
      <c r="M25" s="437"/>
      <c r="N25" s="437"/>
      <c r="O25" s="437"/>
      <c r="P25" s="438"/>
      <c r="Q25" s="437"/>
      <c r="R25" s="437"/>
      <c r="S25" s="437"/>
      <c r="T25" s="437"/>
      <c r="U25" s="438"/>
      <c r="V25" s="437"/>
      <c r="W25" s="437"/>
      <c r="X25" s="437"/>
      <c r="Y25" s="437"/>
      <c r="Z25" s="438"/>
      <c r="AA25" s="437"/>
      <c r="AB25" s="437"/>
      <c r="AC25" s="437"/>
      <c r="AD25" s="437"/>
      <c r="AE25" s="438"/>
      <c r="AF25" s="437"/>
      <c r="AG25" s="437"/>
      <c r="AH25" s="437"/>
      <c r="AI25" s="437"/>
      <c r="AJ25" s="438"/>
      <c r="AK25" s="437"/>
      <c r="AL25" s="437"/>
      <c r="AM25" s="437"/>
      <c r="AN25" s="437"/>
      <c r="AO25" s="438"/>
      <c r="AP25" s="437"/>
      <c r="AQ25" s="437"/>
      <c r="AR25" s="437"/>
      <c r="AS25" s="437"/>
      <c r="AT25" s="438"/>
      <c r="AU25" s="437"/>
      <c r="AV25" s="437"/>
      <c r="AW25" s="725"/>
      <c r="AX25" s="437"/>
      <c r="AY25" s="438"/>
      <c r="AZ25" s="437"/>
      <c r="BA25" s="437"/>
      <c r="BB25" s="437"/>
      <c r="BC25" s="437"/>
      <c r="BD25" s="438"/>
      <c r="BE25" s="438"/>
      <c r="BF25" s="438"/>
      <c r="BG25" s="438"/>
      <c r="BH25" s="368"/>
    </row>
    <row r="26" spans="1:60" s="117" customFormat="1" x14ac:dyDescent="0.25">
      <c r="A26" s="575" t="s">
        <v>601</v>
      </c>
      <c r="B26" s="576"/>
      <c r="C26" s="1040"/>
      <c r="D26" s="1040"/>
      <c r="E26" s="1040">
        <f t="shared" ref="E26:AJ26" si="20">E113</f>
        <v>228.56615384615384</v>
      </c>
      <c r="F26" s="1040">
        <f t="shared" si="20"/>
        <v>122.44412698412698</v>
      </c>
      <c r="G26" s="1041">
        <f t="shared" si="20"/>
        <v>113.30673469387754</v>
      </c>
      <c r="H26" s="1041">
        <f t="shared" si="20"/>
        <v>77.96796116504855</v>
      </c>
      <c r="I26" s="1041">
        <f t="shared" si="20"/>
        <v>78.217454545454544</v>
      </c>
      <c r="J26" s="1041">
        <f t="shared" si="20"/>
        <v>88.632037144515394</v>
      </c>
      <c r="K26" s="1040">
        <f t="shared" si="20"/>
        <v>89.019962570180908</v>
      </c>
      <c r="L26" s="1041">
        <f t="shared" si="20"/>
        <v>91.198853956945953</v>
      </c>
      <c r="M26" s="1041">
        <f t="shared" si="20"/>
        <v>96.032326164401638</v>
      </c>
      <c r="N26" s="1041">
        <f t="shared" si="20"/>
        <v>102.75080282594733</v>
      </c>
      <c r="O26" s="1041">
        <f t="shared" si="20"/>
        <v>90.542607280862313</v>
      </c>
      <c r="P26" s="1040">
        <f t="shared" si="20"/>
        <v>94.993271205180861</v>
      </c>
      <c r="Q26" s="1041">
        <f t="shared" si="20"/>
        <v>88.931806869089101</v>
      </c>
      <c r="R26" s="1041">
        <f t="shared" si="20"/>
        <v>76.14377384668748</v>
      </c>
      <c r="S26" s="1041">
        <f t="shared" si="20"/>
        <v>73.477117986727563</v>
      </c>
      <c r="T26" s="1041">
        <f t="shared" si="20"/>
        <v>63.909371781668384</v>
      </c>
      <c r="U26" s="1040">
        <f t="shared" si="20"/>
        <v>73.847625251687788</v>
      </c>
      <c r="V26" s="1041">
        <f t="shared" si="20"/>
        <v>69.235087719298249</v>
      </c>
      <c r="W26" s="1041">
        <f t="shared" si="20"/>
        <v>82.061658103041239</v>
      </c>
      <c r="X26" s="1041">
        <f t="shared" si="20"/>
        <v>77.25079569719189</v>
      </c>
      <c r="Y26" s="1041">
        <f t="shared" si="20"/>
        <v>78.353558558558561</v>
      </c>
      <c r="Z26" s="1040">
        <f t="shared" si="20"/>
        <v>73.305182115079418</v>
      </c>
      <c r="AA26" s="1041">
        <f t="shared" si="20"/>
        <v>81.4024</v>
      </c>
      <c r="AB26" s="1041">
        <f t="shared" si="20"/>
        <v>91.538727272727272</v>
      </c>
      <c r="AC26" s="1041">
        <f t="shared" si="20"/>
        <v>79.455599341929073</v>
      </c>
      <c r="AD26" s="1041">
        <f t="shared" si="20"/>
        <v>80.392064604398172</v>
      </c>
      <c r="AE26" s="1040">
        <f t="shared" si="20"/>
        <v>82.778088144009928</v>
      </c>
      <c r="AF26" s="1041">
        <f t="shared" si="20"/>
        <v>89.920296377463842</v>
      </c>
      <c r="AG26" s="1041">
        <f t="shared" si="20"/>
        <v>79.758811891497885</v>
      </c>
      <c r="AH26" s="1041">
        <f t="shared" si="20"/>
        <v>70.046272240349694</v>
      </c>
      <c r="AI26" s="1041">
        <f t="shared" si="20"/>
        <v>68.463235883518237</v>
      </c>
      <c r="AJ26" s="1040">
        <f t="shared" si="20"/>
        <v>73.385914430344258</v>
      </c>
      <c r="AK26" s="1041">
        <f t="shared" ref="AK26:BG26" si="21">AK113</f>
        <v>53.405345789541968</v>
      </c>
      <c r="AL26" s="1041">
        <f t="shared" si="21"/>
        <v>56.681776402806733</v>
      </c>
      <c r="AM26" s="1041">
        <f t="shared" si="21"/>
        <v>56.730987514188421</v>
      </c>
      <c r="AN26" s="1041">
        <f t="shared" si="21"/>
        <v>58.214107915968491</v>
      </c>
      <c r="AO26" s="1040">
        <f t="shared" si="21"/>
        <v>56.566447604882285</v>
      </c>
      <c r="AP26" s="1041">
        <f t="shared" si="21"/>
        <v>55.09030002912904</v>
      </c>
      <c r="AQ26" s="1041">
        <f t="shared" si="21"/>
        <v>52.022048157818389</v>
      </c>
      <c r="AR26" s="1041">
        <f t="shared" si="21"/>
        <v>53.627516804420466</v>
      </c>
      <c r="AS26" s="1041">
        <f t="shared" si="21"/>
        <v>51.685016553813362</v>
      </c>
      <c r="AT26" s="1040">
        <f t="shared" si="21"/>
        <v>52.891694989219154</v>
      </c>
      <c r="AU26" s="1041">
        <f t="shared" si="21"/>
        <v>47.800321121004231</v>
      </c>
      <c r="AV26" s="1041">
        <f t="shared" si="21"/>
        <v>50.960323747939107</v>
      </c>
      <c r="AW26" s="1042">
        <f t="shared" si="21"/>
        <v>50.695714470060025</v>
      </c>
      <c r="AX26" s="1041">
        <f t="shared" si="21"/>
        <v>49.100765726122695</v>
      </c>
      <c r="AY26" s="1040">
        <f t="shared" si="21"/>
        <v>49.657215947682808</v>
      </c>
      <c r="AZ26" s="1041">
        <f t="shared" si="21"/>
        <v>55.448372500364904</v>
      </c>
      <c r="BA26" s="1041">
        <f t="shared" si="21"/>
        <v>56.056356122733021</v>
      </c>
      <c r="BB26" s="1041">
        <f t="shared" si="21"/>
        <v>58.300071640569023</v>
      </c>
      <c r="BC26" s="1041">
        <f t="shared" si="21"/>
        <v>56.95688824230232</v>
      </c>
      <c r="BD26" s="1040">
        <f t="shared" si="21"/>
        <v>56.803130627784249</v>
      </c>
      <c r="BE26" s="1040">
        <f t="shared" si="21"/>
        <v>59.643287159173461</v>
      </c>
      <c r="BF26" s="1040">
        <f t="shared" si="21"/>
        <v>62.625451517132134</v>
      </c>
      <c r="BG26" s="1040">
        <f t="shared" si="21"/>
        <v>65.756724092988748</v>
      </c>
      <c r="BH26" s="570"/>
    </row>
    <row r="27" spans="1:60" s="574" customFormat="1" x14ac:dyDescent="0.25">
      <c r="A27" s="372" t="s">
        <v>709</v>
      </c>
      <c r="B27" s="641"/>
      <c r="C27" s="191"/>
      <c r="D27" s="191"/>
      <c r="E27" s="191"/>
      <c r="F27" s="191"/>
      <c r="G27" s="1004"/>
      <c r="H27" s="572">
        <f>H26/G26-1</f>
        <v>-0.31188590531978766</v>
      </c>
      <c r="I27" s="572">
        <f>I26/H26-1</f>
        <v>3.1999474742945289E-3</v>
      </c>
      <c r="J27" s="572">
        <f>J26/I26-1</f>
        <v>0.13314908621845545</v>
      </c>
      <c r="K27" s="191"/>
      <c r="L27" s="572">
        <f>L26/J26-1</f>
        <v>2.8960372514572175E-2</v>
      </c>
      <c r="M27" s="572">
        <f>M26/L26-1</f>
        <v>5.2999264768584853E-2</v>
      </c>
      <c r="N27" s="572">
        <f>N26/M26-1</f>
        <v>6.9960574005507814E-2</v>
      </c>
      <c r="O27" s="572">
        <f>O26/N26-1</f>
        <v>-0.11881362684596097</v>
      </c>
      <c r="P27" s="191"/>
      <c r="Q27" s="572">
        <f>Q26/O26-1</f>
        <v>-1.7790523822409088E-2</v>
      </c>
      <c r="R27" s="572">
        <f>R26/Q26-1</f>
        <v>-0.14379594289842867</v>
      </c>
      <c r="S27" s="572">
        <f>S26/R26-1</f>
        <v>-3.5021325122775337E-2</v>
      </c>
      <c r="T27" s="572">
        <f>T26/S26-1</f>
        <v>-0.13021395595275576</v>
      </c>
      <c r="U27" s="191"/>
      <c r="V27" s="572">
        <f>V26/T26-1</f>
        <v>8.3332315576875704E-2</v>
      </c>
      <c r="W27" s="573">
        <f>W26/V26-1</f>
        <v>0.18526112707109021</v>
      </c>
      <c r="X27" s="573">
        <f>X26/W26-1</f>
        <v>-5.8624971966914963E-2</v>
      </c>
      <c r="Y27" s="572">
        <f>Y26/X26-1</f>
        <v>1.4275100358697834E-2</v>
      </c>
      <c r="Z27" s="191"/>
      <c r="AA27" s="572">
        <f>AA26/Y26-1</f>
        <v>3.8911333416501437E-2</v>
      </c>
      <c r="AB27" s="573">
        <f>AB26/AA26-1</f>
        <v>0.12452123368263424</v>
      </c>
      <c r="AC27" s="573">
        <f>AC26/AB26-1</f>
        <v>-0.13200017403342468</v>
      </c>
      <c r="AD27" s="572">
        <f>AD26/AC26-1</f>
        <v>1.1786019742159537E-2</v>
      </c>
      <c r="AE27" s="191"/>
      <c r="AF27" s="572">
        <f>AF26/AD26-1</f>
        <v>0.11852204343741146</v>
      </c>
      <c r="AG27" s="573">
        <f>AG26/AF26-1</f>
        <v>-0.11300546033912617</v>
      </c>
      <c r="AH27" s="573">
        <f>AH26/AG26-1</f>
        <v>-0.12177387577388832</v>
      </c>
      <c r="AI27" s="572">
        <f>AI26/AH26-1</f>
        <v>-2.2599865862948265E-2</v>
      </c>
      <c r="AJ27" s="191"/>
      <c r="AK27" s="572">
        <f>AK26/AI26-1</f>
        <v>-0.21994125605741766</v>
      </c>
      <c r="AL27" s="573">
        <f>AL26/AK26-1</f>
        <v>6.1350236850378437E-2</v>
      </c>
      <c r="AM27" s="573">
        <f>AM26/AL26-1</f>
        <v>8.6819987842257085E-4</v>
      </c>
      <c r="AN27" s="572">
        <f>AN26/AM26-1</f>
        <v>2.6143038694842691E-2</v>
      </c>
      <c r="AO27" s="191"/>
      <c r="AP27" s="572">
        <f>AP26/AN26-1</f>
        <v>-5.3660667468247381E-2</v>
      </c>
      <c r="AQ27" s="573">
        <f>AQ26/AP26-1</f>
        <v>-5.5694956638252302E-2</v>
      </c>
      <c r="AR27" s="573">
        <f>AR26/AQ26-1</f>
        <v>3.086131176019058E-2</v>
      </c>
      <c r="AS27" s="572">
        <f>AS26/AR26-1</f>
        <v>-3.6222080871120776E-2</v>
      </c>
      <c r="AT27" s="191"/>
      <c r="AU27" s="572">
        <f>AU26/AS26-1</f>
        <v>-7.5160959439075858E-2</v>
      </c>
      <c r="AV27" s="573">
        <f>AV26/AU26-1</f>
        <v>6.6108397450625578E-2</v>
      </c>
      <c r="AW27" s="844">
        <f>AW26/AV26-1</f>
        <v>-5.1924567667170907E-3</v>
      </c>
      <c r="AX27" s="1004">
        <f>AX26/AW26-1</f>
        <v>-3.1461214436168561E-2</v>
      </c>
      <c r="AY27" s="191"/>
      <c r="AZ27" s="1004">
        <f>AZ26/AX26-1</f>
        <v>0.12927714426386516</v>
      </c>
      <c r="BA27" s="1004">
        <f>BA26/AZ26-1</f>
        <v>1.0964859651455328E-2</v>
      </c>
      <c r="BB27" s="1004">
        <f>BB26/BA26-1</f>
        <v>4.0026067925704734E-2</v>
      </c>
      <c r="BC27" s="1004">
        <f>BC26/BB26-1</f>
        <v>-2.3039138039961271E-2</v>
      </c>
      <c r="BD27" s="191"/>
      <c r="BE27" s="191"/>
      <c r="BF27" s="191"/>
      <c r="BG27" s="191"/>
      <c r="BH27" s="572"/>
    </row>
    <row r="28" spans="1:60" s="574" customFormat="1" x14ac:dyDescent="0.25">
      <c r="A28" s="372" t="s">
        <v>710</v>
      </c>
      <c r="B28" s="641"/>
      <c r="C28" s="191"/>
      <c r="D28" s="191"/>
      <c r="E28" s="191"/>
      <c r="F28" s="191">
        <f>F26/E26-1</f>
        <v>-0.46429458201172158</v>
      </c>
      <c r="G28" s="1004"/>
      <c r="H28" s="1004"/>
      <c r="I28" s="1004"/>
      <c r="J28" s="1004"/>
      <c r="K28" s="571">
        <f t="shared" ref="K28:AE28" si="22">K26/F26-1</f>
        <v>-0.27297482727186262</v>
      </c>
      <c r="L28" s="572">
        <f t="shared" si="22"/>
        <v>-0.19511532828706757</v>
      </c>
      <c r="M28" s="572">
        <f t="shared" si="22"/>
        <v>0.23168959056288596</v>
      </c>
      <c r="N28" s="572">
        <f t="shared" si="22"/>
        <v>0.3136556721650372</v>
      </c>
      <c r="O28" s="572">
        <f t="shared" si="22"/>
        <v>2.1556202451171513E-2</v>
      </c>
      <c r="P28" s="571">
        <f t="shared" si="22"/>
        <v>6.7100776753200364E-2</v>
      </c>
      <c r="Q28" s="572">
        <f t="shared" si="22"/>
        <v>-2.4858284830279742E-2</v>
      </c>
      <c r="R28" s="572">
        <f t="shared" si="22"/>
        <v>-0.20710268210796157</v>
      </c>
      <c r="S28" s="572">
        <f t="shared" si="22"/>
        <v>-0.28489981619712834</v>
      </c>
      <c r="T28" s="572">
        <f t="shared" si="22"/>
        <v>-0.29415140892262892</v>
      </c>
      <c r="U28" s="571">
        <f t="shared" si="22"/>
        <v>-0.22260151361478542</v>
      </c>
      <c r="V28" s="572">
        <f t="shared" si="22"/>
        <v>-0.22148115329293994</v>
      </c>
      <c r="W28" s="573">
        <f t="shared" si="22"/>
        <v>7.7719870678713443E-2</v>
      </c>
      <c r="X28" s="573">
        <f t="shared" si="22"/>
        <v>5.1358542820718389E-2</v>
      </c>
      <c r="Y28" s="572">
        <f t="shared" si="22"/>
        <v>0.22601046410275183</v>
      </c>
      <c r="Z28" s="571">
        <f t="shared" si="22"/>
        <v>-7.3454377816430938E-3</v>
      </c>
      <c r="AA28" s="572">
        <f t="shared" si="22"/>
        <v>0.175739103993513</v>
      </c>
      <c r="AB28" s="573">
        <f t="shared" si="22"/>
        <v>0.11548717621311155</v>
      </c>
      <c r="AC28" s="573">
        <f t="shared" si="22"/>
        <v>2.8540853525698129E-2</v>
      </c>
      <c r="AD28" s="572">
        <f t="shared" si="22"/>
        <v>2.6016764054386909E-2</v>
      </c>
      <c r="AE28" s="571">
        <f t="shared" si="22"/>
        <v>0.12922559845850046</v>
      </c>
      <c r="AF28" s="834" t="str">
        <f>"NMF"</f>
        <v>NMF</v>
      </c>
      <c r="AG28" s="835" t="str">
        <f t="shared" ref="AG28:AJ28" si="23">"NMF"</f>
        <v>NMF</v>
      </c>
      <c r="AH28" s="835" t="str">
        <f t="shared" si="23"/>
        <v>NMF</v>
      </c>
      <c r="AI28" s="834" t="str">
        <f t="shared" si="23"/>
        <v>NMF</v>
      </c>
      <c r="AJ28" s="836" t="str">
        <f t="shared" si="23"/>
        <v>NMF</v>
      </c>
      <c r="AK28" s="572">
        <f t="shared" ref="AK28:BD28" si="24">AK26/AF26-1</f>
        <v>-0.4060812970927149</v>
      </c>
      <c r="AL28" s="573">
        <f t="shared" si="24"/>
        <v>-0.28933524636857222</v>
      </c>
      <c r="AM28" s="573">
        <f t="shared" si="24"/>
        <v>-0.19009269587498612</v>
      </c>
      <c r="AN28" s="572">
        <f t="shared" si="24"/>
        <v>-0.14970265187271281</v>
      </c>
      <c r="AO28" s="571">
        <f t="shared" si="24"/>
        <v>-0.22919203168649638</v>
      </c>
      <c r="AP28" s="572">
        <f t="shared" si="24"/>
        <v>3.1550291729728341E-2</v>
      </c>
      <c r="AQ28" s="573">
        <f t="shared" si="24"/>
        <v>-8.2208578148189604E-2</v>
      </c>
      <c r="AR28" s="573">
        <f t="shared" si="24"/>
        <v>-5.4705035920479594E-2</v>
      </c>
      <c r="AS28" s="572">
        <f t="shared" si="24"/>
        <v>-0.1121565131871437</v>
      </c>
      <c r="AT28" s="571">
        <f t="shared" si="24"/>
        <v>-6.4963468120383783E-2</v>
      </c>
      <c r="AU28" s="572">
        <f t="shared" si="24"/>
        <v>-0.13232781277775263</v>
      </c>
      <c r="AV28" s="573">
        <f t="shared" si="24"/>
        <v>-2.0409123582722954E-2</v>
      </c>
      <c r="AW28" s="844">
        <f t="shared" si="24"/>
        <v>-5.4669738765878773E-2</v>
      </c>
      <c r="AX28" s="572">
        <f t="shared" si="24"/>
        <v>-4.9999999999999933E-2</v>
      </c>
      <c r="AY28" s="571">
        <f t="shared" si="24"/>
        <v>-6.1152871773075601E-2</v>
      </c>
      <c r="AZ28" s="572">
        <f t="shared" si="24"/>
        <v>0.15999999999999992</v>
      </c>
      <c r="BA28" s="572">
        <f t="shared" si="24"/>
        <v>0.10000000000000009</v>
      </c>
      <c r="BB28" s="572">
        <f t="shared" si="24"/>
        <v>0.14999999999999991</v>
      </c>
      <c r="BC28" s="572">
        <f t="shared" si="24"/>
        <v>0.15999999999999992</v>
      </c>
      <c r="BD28" s="571">
        <f t="shared" si="24"/>
        <v>0.14390485941922604</v>
      </c>
      <c r="BE28" s="571">
        <f>BE26/BD26-1</f>
        <v>5.0000000000000044E-2</v>
      </c>
      <c r="BF28" s="571">
        <f>BF26/BE26-1</f>
        <v>5.0000000000000044E-2</v>
      </c>
      <c r="BG28" s="571">
        <f>BG26/BF26-1</f>
        <v>5.0000000000000044E-2</v>
      </c>
      <c r="BH28" s="572"/>
    </row>
    <row r="29" spans="1:60" s="116" customFormat="1" x14ac:dyDescent="0.25">
      <c r="A29" s="530"/>
      <c r="B29" s="637"/>
      <c r="C29" s="438"/>
      <c r="D29" s="438"/>
      <c r="E29" s="438"/>
      <c r="F29" s="438"/>
      <c r="G29" s="437"/>
      <c r="H29" s="437"/>
      <c r="I29" s="437"/>
      <c r="J29" s="437"/>
      <c r="K29" s="438"/>
      <c r="L29" s="437"/>
      <c r="M29" s="437"/>
      <c r="N29" s="437"/>
      <c r="O29" s="437"/>
      <c r="P29" s="438"/>
      <c r="Q29" s="437"/>
      <c r="R29" s="437"/>
      <c r="S29" s="437"/>
      <c r="T29" s="437"/>
      <c r="U29" s="438"/>
      <c r="V29" s="437"/>
      <c r="W29" s="437"/>
      <c r="X29" s="437"/>
      <c r="Y29" s="437"/>
      <c r="Z29" s="438"/>
      <c r="AA29" s="437"/>
      <c r="AB29" s="437"/>
      <c r="AC29" s="437"/>
      <c r="AD29" s="437"/>
      <c r="AE29" s="438"/>
      <c r="AF29" s="437"/>
      <c r="AG29" s="437"/>
      <c r="AH29" s="437"/>
      <c r="AI29" s="437"/>
      <c r="AJ29" s="438"/>
      <c r="AK29" s="437"/>
      <c r="AL29" s="437"/>
      <c r="AM29" s="437"/>
      <c r="AN29" s="437"/>
      <c r="AO29" s="438"/>
      <c r="AP29" s="437"/>
      <c r="AQ29" s="437"/>
      <c r="AR29" s="437"/>
      <c r="AS29" s="437"/>
      <c r="AT29" s="438"/>
      <c r="AU29" s="437"/>
      <c r="AV29" s="437"/>
      <c r="AW29" s="725"/>
      <c r="AX29" s="437"/>
      <c r="AY29" s="438"/>
      <c r="AZ29" s="437"/>
      <c r="BA29" s="437"/>
      <c r="BB29" s="437"/>
      <c r="BC29" s="437"/>
      <c r="BD29" s="438"/>
      <c r="BE29" s="438"/>
      <c r="BF29" s="438"/>
      <c r="BG29" s="438"/>
      <c r="BH29" s="368"/>
    </row>
    <row r="30" spans="1:60" s="116" customFormat="1" x14ac:dyDescent="0.25">
      <c r="A30" s="530" t="s">
        <v>787</v>
      </c>
      <c r="B30" s="637"/>
      <c r="C30" s="438"/>
      <c r="D30" s="438"/>
      <c r="E30" s="438"/>
      <c r="F30" s="438"/>
      <c r="G30" s="437"/>
      <c r="H30" s="437"/>
      <c r="I30" s="437"/>
      <c r="J30" s="437"/>
      <c r="K30" s="438"/>
      <c r="L30" s="437"/>
      <c r="M30" s="437"/>
      <c r="N30" s="437"/>
      <c r="O30" s="437"/>
      <c r="P30" s="438"/>
      <c r="Q30" s="437"/>
      <c r="R30" s="437"/>
      <c r="S30" s="437"/>
      <c r="T30" s="437"/>
      <c r="U30" s="438"/>
      <c r="V30" s="437"/>
      <c r="W30" s="437"/>
      <c r="X30" s="437"/>
      <c r="Y30" s="437"/>
      <c r="Z30" s="438"/>
      <c r="AA30" s="437"/>
      <c r="AB30" s="437"/>
      <c r="AC30" s="437"/>
      <c r="AD30" s="437"/>
      <c r="AE30" s="438"/>
      <c r="AF30" s="437"/>
      <c r="AG30" s="437"/>
      <c r="AH30" s="437"/>
      <c r="AI30" s="437"/>
      <c r="AJ30" s="438"/>
      <c r="AK30" s="437"/>
      <c r="AL30" s="437">
        <f t="shared" ref="AL30:BG30" si="25">AL151</f>
        <v>38828</v>
      </c>
      <c r="AM30" s="437">
        <f t="shared" si="25"/>
        <v>44241</v>
      </c>
      <c r="AN30" s="437">
        <f t="shared" si="25"/>
        <v>49901</v>
      </c>
      <c r="AO30" s="438">
        <f t="shared" si="25"/>
        <v>49901</v>
      </c>
      <c r="AP30" s="437">
        <f t="shared" si="25"/>
        <v>53159</v>
      </c>
      <c r="AQ30" s="437">
        <f t="shared" si="25"/>
        <v>54519</v>
      </c>
      <c r="AR30" s="437">
        <f t="shared" si="25"/>
        <v>61638</v>
      </c>
      <c r="AS30" s="437">
        <f t="shared" si="25"/>
        <v>72089</v>
      </c>
      <c r="AT30" s="438">
        <f t="shared" si="25"/>
        <v>72089</v>
      </c>
      <c r="AU30" s="437">
        <f t="shared" si="25"/>
        <v>83032</v>
      </c>
      <c r="AV30" s="437">
        <f t="shared" si="25"/>
        <v>95491</v>
      </c>
      <c r="AW30" s="725">
        <f t="shared" si="25"/>
        <v>108757</v>
      </c>
      <c r="AX30" s="437">
        <f t="shared" si="25"/>
        <v>129679.91852054794</v>
      </c>
      <c r="AY30" s="438">
        <f t="shared" si="25"/>
        <v>129679.91852054794</v>
      </c>
      <c r="AZ30" s="437">
        <f t="shared" si="25"/>
        <v>153640.94541365659</v>
      </c>
      <c r="BA30" s="437">
        <f t="shared" si="25"/>
        <v>181258.85019015308</v>
      </c>
      <c r="BB30" s="437">
        <f t="shared" si="25"/>
        <v>213256.06167113368</v>
      </c>
      <c r="BC30" s="437">
        <f t="shared" si="25"/>
        <v>250289.16783882305</v>
      </c>
      <c r="BD30" s="438">
        <f t="shared" si="25"/>
        <v>250289.16783882305</v>
      </c>
      <c r="BE30" s="438">
        <f t="shared" si="25"/>
        <v>388483.81776849367</v>
      </c>
      <c r="BF30" s="438">
        <f t="shared" si="25"/>
        <v>544649.62688006903</v>
      </c>
      <c r="BG30" s="438">
        <f t="shared" si="25"/>
        <v>724128.64180486626</v>
      </c>
      <c r="BH30" s="368"/>
    </row>
    <row r="31" spans="1:60" s="574" customFormat="1" x14ac:dyDescent="0.25">
      <c r="A31" s="372" t="s">
        <v>788</v>
      </c>
      <c r="B31" s="641"/>
      <c r="C31" s="191"/>
      <c r="D31" s="191"/>
      <c r="E31" s="191"/>
      <c r="F31" s="191"/>
      <c r="G31" s="1004"/>
      <c r="H31" s="1004"/>
      <c r="I31" s="1004"/>
      <c r="J31" s="1004"/>
      <c r="K31" s="191"/>
      <c r="L31" s="1004"/>
      <c r="M31" s="1004"/>
      <c r="N31" s="1004"/>
      <c r="O31" s="1004"/>
      <c r="P31" s="191"/>
      <c r="Q31" s="1004"/>
      <c r="R31" s="1004"/>
      <c r="S31" s="1004"/>
      <c r="T31" s="1004"/>
      <c r="U31" s="191"/>
      <c r="V31" s="1004"/>
      <c r="W31" s="1004"/>
      <c r="X31" s="1004"/>
      <c r="Y31" s="1004"/>
      <c r="Z31" s="191"/>
      <c r="AA31" s="1004"/>
      <c r="AB31" s="1004"/>
      <c r="AC31" s="1004"/>
      <c r="AD31" s="1004"/>
      <c r="AE31" s="191"/>
      <c r="AF31" s="1004"/>
      <c r="AG31" s="1004"/>
      <c r="AH31" s="1004"/>
      <c r="AI31" s="1004"/>
      <c r="AJ31" s="191"/>
      <c r="AK31" s="1004"/>
      <c r="AL31" s="1004"/>
      <c r="AM31" s="573">
        <f>AM30/AL30-1</f>
        <v>0.13940970433707633</v>
      </c>
      <c r="AN31" s="572">
        <f>AN30/AM30-1</f>
        <v>0.12793562532492486</v>
      </c>
      <c r="AO31" s="191"/>
      <c r="AP31" s="572">
        <f>AP30/AN30-1</f>
        <v>6.5289272760064909E-2</v>
      </c>
      <c r="AQ31" s="573">
        <f>AQ30/AP30-1</f>
        <v>2.5583626479053434E-2</v>
      </c>
      <c r="AR31" s="573">
        <f>AR30/AQ30-1</f>
        <v>0.13057833049028789</v>
      </c>
      <c r="AS31" s="572">
        <f>AS30/AR30-1</f>
        <v>0.16955449560336167</v>
      </c>
      <c r="AT31" s="191"/>
      <c r="AU31" s="572">
        <f>AU30/AS30-1</f>
        <v>0.15179847133404545</v>
      </c>
      <c r="AV31" s="573">
        <f>AV30/AU30-1</f>
        <v>0.15005058290779449</v>
      </c>
      <c r="AW31" s="844">
        <f>AW30/AV30-1</f>
        <v>0.1389240870867412</v>
      </c>
      <c r="AX31" s="1004">
        <f>AX30/AW30-1</f>
        <v>0.19238226983594564</v>
      </c>
      <c r="AY31" s="191"/>
      <c r="AZ31" s="1004">
        <f>AZ30/AX30-1</f>
        <v>0.18477052705205077</v>
      </c>
      <c r="BA31" s="1004">
        <f>BA30/AZ30-1</f>
        <v>0.17975614965228948</v>
      </c>
      <c r="BB31" s="1004">
        <f>BB30/BA30-1</f>
        <v>0.17652771959776481</v>
      </c>
      <c r="BC31" s="1004">
        <f>BC30/BB30-1</f>
        <v>0.17365558510969237</v>
      </c>
      <c r="BD31" s="191"/>
      <c r="BE31" s="191"/>
      <c r="BF31" s="191"/>
      <c r="BG31" s="191"/>
      <c r="BH31" s="572"/>
    </row>
    <row r="32" spans="1:60" s="574" customFormat="1" x14ac:dyDescent="0.25">
      <c r="A32" s="372" t="s">
        <v>789</v>
      </c>
      <c r="B32" s="641"/>
      <c r="C32" s="191"/>
      <c r="D32" s="191"/>
      <c r="E32" s="191"/>
      <c r="F32" s="191"/>
      <c r="G32" s="1004"/>
      <c r="H32" s="1004"/>
      <c r="I32" s="1004"/>
      <c r="J32" s="1004"/>
      <c r="K32" s="191"/>
      <c r="L32" s="1004"/>
      <c r="M32" s="1004"/>
      <c r="N32" s="1004"/>
      <c r="O32" s="1004"/>
      <c r="P32" s="191"/>
      <c r="Q32" s="1004"/>
      <c r="R32" s="1004"/>
      <c r="S32" s="1004"/>
      <c r="T32" s="1004"/>
      <c r="U32" s="191"/>
      <c r="V32" s="1004"/>
      <c r="W32" s="1004"/>
      <c r="X32" s="1004"/>
      <c r="Y32" s="1004"/>
      <c r="Z32" s="191"/>
      <c r="AA32" s="1004"/>
      <c r="AB32" s="1004"/>
      <c r="AC32" s="1004"/>
      <c r="AD32" s="1004"/>
      <c r="AE32" s="191"/>
      <c r="AF32" s="1004"/>
      <c r="AG32" s="1004"/>
      <c r="AH32" s="1004"/>
      <c r="AI32" s="1004"/>
      <c r="AJ32" s="191"/>
      <c r="AK32" s="1004"/>
      <c r="AL32" s="1004"/>
      <c r="AM32" s="1004"/>
      <c r="AN32" s="1004"/>
      <c r="AO32" s="191"/>
      <c r="AP32" s="1004"/>
      <c r="AQ32" s="573">
        <f t="shared" ref="AQ32:BD32" si="26">AQ30/AL30-1</f>
        <v>0.40411558669001746</v>
      </c>
      <c r="AR32" s="573">
        <f t="shared" si="26"/>
        <v>0.3932325218688546</v>
      </c>
      <c r="AS32" s="572">
        <f t="shared" si="26"/>
        <v>0.44464038796817706</v>
      </c>
      <c r="AT32" s="571">
        <f t="shared" si="26"/>
        <v>0.44464038796817706</v>
      </c>
      <c r="AU32" s="572">
        <f t="shared" si="26"/>
        <v>0.56195564250644292</v>
      </c>
      <c r="AV32" s="573">
        <f t="shared" si="26"/>
        <v>0.751517819475779</v>
      </c>
      <c r="AW32" s="844">
        <f t="shared" si="26"/>
        <v>0.76444725656251022</v>
      </c>
      <c r="AX32" s="1004">
        <f t="shared" si="26"/>
        <v>0.79888635603972791</v>
      </c>
      <c r="AY32" s="191">
        <f t="shared" si="26"/>
        <v>0.79888635603972791</v>
      </c>
      <c r="AZ32" s="1004">
        <f t="shared" si="26"/>
        <v>0.85038232745997444</v>
      </c>
      <c r="BA32" s="1004">
        <f t="shared" si="26"/>
        <v>0.89817731713096616</v>
      </c>
      <c r="BB32" s="1004">
        <f t="shared" si="26"/>
        <v>0.9608490641626164</v>
      </c>
      <c r="BC32" s="1004">
        <f t="shared" si="26"/>
        <v>0.93005340143828374</v>
      </c>
      <c r="BD32" s="191">
        <f t="shared" si="26"/>
        <v>0.93005340143828374</v>
      </c>
      <c r="BE32" s="191">
        <f>BE30/BD30-1</f>
        <v>0.55213995524833437</v>
      </c>
      <c r="BF32" s="191">
        <f>BF30/BE30-1</f>
        <v>0.40198793867042903</v>
      </c>
      <c r="BG32" s="191">
        <f>BG30/BF30-1</f>
        <v>0.3295311445505098</v>
      </c>
      <c r="BH32" s="572"/>
    </row>
    <row r="33" spans="1:60" s="116" customFormat="1" x14ac:dyDescent="0.25">
      <c r="A33" s="530"/>
      <c r="B33" s="637"/>
      <c r="C33" s="438"/>
      <c r="D33" s="438"/>
      <c r="E33" s="438"/>
      <c r="F33" s="438"/>
      <c r="G33" s="437"/>
      <c r="H33" s="437"/>
      <c r="I33" s="437"/>
      <c r="J33" s="437"/>
      <c r="K33" s="438"/>
      <c r="L33" s="437"/>
      <c r="M33" s="437"/>
      <c r="N33" s="437"/>
      <c r="O33" s="437"/>
      <c r="P33" s="438"/>
      <c r="Q33" s="437"/>
      <c r="R33" s="437"/>
      <c r="S33" s="437"/>
      <c r="T33" s="437"/>
      <c r="U33" s="438"/>
      <c r="V33" s="437"/>
      <c r="W33" s="437"/>
      <c r="X33" s="437"/>
      <c r="Y33" s="437"/>
      <c r="Z33" s="438"/>
      <c r="AA33" s="437"/>
      <c r="AB33" s="437"/>
      <c r="AC33" s="437"/>
      <c r="AD33" s="437"/>
      <c r="AE33" s="438"/>
      <c r="AF33" s="437"/>
      <c r="AG33" s="437"/>
      <c r="AH33" s="437"/>
      <c r="AI33" s="437"/>
      <c r="AJ33" s="438"/>
      <c r="AK33" s="437"/>
      <c r="AL33" s="437"/>
      <c r="AM33" s="437"/>
      <c r="AN33" s="437"/>
      <c r="AO33" s="438"/>
      <c r="AP33" s="437"/>
      <c r="AQ33" s="437"/>
      <c r="AR33" s="437"/>
      <c r="AS33" s="437"/>
      <c r="AT33" s="438"/>
      <c r="AU33" s="437"/>
      <c r="AV33" s="437"/>
      <c r="AW33" s="725"/>
      <c r="AX33" s="437"/>
      <c r="AY33" s="438"/>
      <c r="AZ33" s="437"/>
      <c r="BA33" s="437"/>
      <c r="BB33" s="437"/>
      <c r="BC33" s="437"/>
      <c r="BD33" s="438"/>
      <c r="BE33" s="438"/>
      <c r="BF33" s="438"/>
      <c r="BG33" s="438"/>
      <c r="BH33" s="368"/>
    </row>
    <row r="34" spans="1:60" s="356" customFormat="1" hidden="1" outlineLevel="1" x14ac:dyDescent="0.25">
      <c r="A34" s="259" t="s">
        <v>13</v>
      </c>
      <c r="B34" s="577"/>
      <c r="C34" s="35">
        <f t="shared" ref="C34:AV34" si="27">C333</f>
        <v>111.943</v>
      </c>
      <c r="D34" s="35">
        <f t="shared" si="27"/>
        <v>97.078000000000003</v>
      </c>
      <c r="E34" s="35">
        <f t="shared" si="27"/>
        <v>148.56800000000001</v>
      </c>
      <c r="F34" s="35">
        <f t="shared" si="27"/>
        <v>385.69900000000001</v>
      </c>
      <c r="G34" s="361">
        <f t="shared" si="27"/>
        <v>555.20299999999997</v>
      </c>
      <c r="H34" s="361">
        <f t="shared" si="27"/>
        <v>401.53500000000003</v>
      </c>
      <c r="I34" s="361">
        <f t="shared" si="27"/>
        <v>430.19600000000003</v>
      </c>
      <c r="J34" s="361">
        <f t="shared" si="27"/>
        <v>610.85200000000009</v>
      </c>
      <c r="K34" s="35">
        <f t="shared" si="27"/>
        <v>1997.7860000000001</v>
      </c>
      <c r="L34" s="361">
        <f t="shared" si="27"/>
        <v>588.87099999999998</v>
      </c>
      <c r="M34" s="361">
        <f t="shared" si="27"/>
        <v>727.82899999999995</v>
      </c>
      <c r="N34" s="361">
        <f t="shared" si="27"/>
        <v>799.91499999999996</v>
      </c>
      <c r="O34" s="361">
        <f t="shared" si="27"/>
        <v>890.39599999999996</v>
      </c>
      <c r="P34" s="35">
        <f t="shared" si="27"/>
        <v>3007.0120000000002</v>
      </c>
      <c r="Q34" s="361">
        <f t="shared" si="27"/>
        <v>893.32</v>
      </c>
      <c r="R34" s="361">
        <f t="shared" si="27"/>
        <v>878.09</v>
      </c>
      <c r="S34" s="361">
        <f t="shared" si="27"/>
        <v>852.55499999999995</v>
      </c>
      <c r="T34" s="361">
        <f t="shared" si="27"/>
        <v>1117.008</v>
      </c>
      <c r="U34" s="35">
        <f t="shared" si="27"/>
        <v>3740.973</v>
      </c>
      <c r="V34" s="361">
        <f t="shared" si="27"/>
        <v>1026.0640000000001</v>
      </c>
      <c r="W34" s="36">
        <f t="shared" si="27"/>
        <v>1181.8520000000001</v>
      </c>
      <c r="X34" s="36">
        <f t="shared" si="27"/>
        <v>1917.442</v>
      </c>
      <c r="Y34" s="361">
        <f t="shared" si="27"/>
        <v>1739.4490000000001</v>
      </c>
      <c r="Z34" s="35">
        <f t="shared" si="27"/>
        <v>5589.0069999999996</v>
      </c>
      <c r="AA34" s="361">
        <f t="shared" si="27"/>
        <v>2035.06</v>
      </c>
      <c r="AB34" s="36">
        <f t="shared" si="27"/>
        <v>2013.8520000000001</v>
      </c>
      <c r="AC34" s="36">
        <f t="shared" si="27"/>
        <v>2076.7310000000002</v>
      </c>
      <c r="AD34" s="361">
        <f t="shared" si="27"/>
        <v>2409.1089999999999</v>
      </c>
      <c r="AE34" s="35">
        <f t="shared" si="27"/>
        <v>8534.7520000000004</v>
      </c>
      <c r="AF34" s="361">
        <f t="shared" si="27"/>
        <v>2561.8809999999999</v>
      </c>
      <c r="AG34" s="36">
        <f t="shared" si="27"/>
        <v>3117.8649999999998</v>
      </c>
      <c r="AH34" s="36">
        <f t="shared" si="27"/>
        <v>5878.3050000000003</v>
      </c>
      <c r="AI34" s="361">
        <f t="shared" si="27"/>
        <v>6073.4710000000014</v>
      </c>
      <c r="AJ34" s="35">
        <f t="shared" si="27"/>
        <v>17631.522000000001</v>
      </c>
      <c r="AK34" s="361">
        <f t="shared" si="27"/>
        <v>3508.741</v>
      </c>
      <c r="AL34" s="36">
        <f t="shared" si="27"/>
        <v>5168.027</v>
      </c>
      <c r="AM34" s="36">
        <f t="shared" si="27"/>
        <v>5132</v>
      </c>
      <c r="AN34" s="361">
        <f t="shared" si="27"/>
        <v>6143.232</v>
      </c>
      <c r="AO34" s="35">
        <f t="shared" si="27"/>
        <v>19952</v>
      </c>
      <c r="AP34" s="361">
        <f t="shared" si="27"/>
        <v>4893</v>
      </c>
      <c r="AQ34" s="36">
        <f t="shared" si="27"/>
        <v>4911</v>
      </c>
      <c r="AR34" s="36">
        <f t="shared" si="27"/>
        <v>7346</v>
      </c>
      <c r="AS34" s="361">
        <f t="shared" si="27"/>
        <v>9034</v>
      </c>
      <c r="AT34" s="35">
        <f t="shared" si="27"/>
        <v>26184</v>
      </c>
      <c r="AU34" s="361">
        <f t="shared" si="27"/>
        <v>8705</v>
      </c>
      <c r="AV34" s="36">
        <f t="shared" si="27"/>
        <v>9874</v>
      </c>
      <c r="AW34" s="792">
        <f>AW333</f>
        <v>11672</v>
      </c>
      <c r="AX34" s="439">
        <f t="shared" ref="AX34:BG34" si="28">AX125</f>
        <v>14431.078883581489</v>
      </c>
      <c r="AY34" s="440">
        <f t="shared" si="28"/>
        <v>44682.078883581496</v>
      </c>
      <c r="AZ34" s="439">
        <f t="shared" si="28"/>
        <v>18531.323500109178</v>
      </c>
      <c r="BA34" s="439">
        <f t="shared" si="28"/>
        <v>21544.697249534292</v>
      </c>
      <c r="BB34" s="439">
        <f t="shared" si="28"/>
        <v>25768.079993416093</v>
      </c>
      <c r="BC34" s="439">
        <f t="shared" si="28"/>
        <v>28950.575202040371</v>
      </c>
      <c r="BD34" s="440">
        <f t="shared" si="28"/>
        <v>94794.675945099938</v>
      </c>
      <c r="BE34" s="440">
        <f t="shared" si="28"/>
        <v>114341.07669957618</v>
      </c>
      <c r="BF34" s="440">
        <f t="shared" si="28"/>
        <v>137817.26739305412</v>
      </c>
      <c r="BG34" s="440">
        <f t="shared" si="28"/>
        <v>166126.03717184966</v>
      </c>
      <c r="BH34" s="361"/>
    </row>
    <row r="35" spans="1:60" s="356" customFormat="1" hidden="1" outlineLevel="1" x14ac:dyDescent="0.25">
      <c r="A35" s="259" t="s">
        <v>14</v>
      </c>
      <c r="B35" s="577"/>
      <c r="C35" s="440"/>
      <c r="D35" s="440"/>
      <c r="E35" s="440"/>
      <c r="F35" s="440"/>
      <c r="G35" s="439"/>
      <c r="H35" s="439"/>
      <c r="I35" s="439"/>
      <c r="J35" s="439"/>
      <c r="K35" s="440"/>
      <c r="L35" s="439"/>
      <c r="M35" s="439"/>
      <c r="N35" s="439"/>
      <c r="O35" s="439"/>
      <c r="P35" s="440"/>
      <c r="Q35" s="439"/>
      <c r="R35" s="439"/>
      <c r="S35" s="439"/>
      <c r="T35" s="439"/>
      <c r="U35" s="440"/>
      <c r="V35" s="439"/>
      <c r="W35" s="439"/>
      <c r="X35" s="36">
        <f t="shared" ref="X35:AV35" si="29">X334</f>
        <v>231.285</v>
      </c>
      <c r="Y35" s="361">
        <f t="shared" si="29"/>
        <v>254.67400000000001</v>
      </c>
      <c r="Z35" s="35">
        <f t="shared" si="29"/>
        <v>761.75900000000001</v>
      </c>
      <c r="AA35" s="361">
        <f t="shared" si="29"/>
        <v>254.54</v>
      </c>
      <c r="AB35" s="36">
        <f t="shared" si="29"/>
        <v>272.76400000000001</v>
      </c>
      <c r="AC35" s="36">
        <f t="shared" si="29"/>
        <v>286.15800000000002</v>
      </c>
      <c r="AD35" s="361">
        <f t="shared" si="29"/>
        <v>293.08600000000001</v>
      </c>
      <c r="AE35" s="35">
        <f t="shared" si="29"/>
        <v>1106.548</v>
      </c>
      <c r="AF35" s="361">
        <f t="shared" si="29"/>
        <v>173.43600000000001</v>
      </c>
      <c r="AG35" s="36">
        <f t="shared" si="29"/>
        <v>239.816</v>
      </c>
      <c r="AH35" s="36">
        <f t="shared" si="29"/>
        <v>220.46100000000001</v>
      </c>
      <c r="AI35" s="361">
        <f t="shared" si="29"/>
        <v>249.74800000000005</v>
      </c>
      <c r="AJ35" s="35">
        <f t="shared" si="29"/>
        <v>883.46100000000001</v>
      </c>
      <c r="AK35" s="361">
        <f t="shared" si="29"/>
        <v>215.12</v>
      </c>
      <c r="AL35" s="36">
        <f t="shared" si="29"/>
        <v>208.36199999999999</v>
      </c>
      <c r="AM35" s="36">
        <f t="shared" si="29"/>
        <v>221</v>
      </c>
      <c r="AN35" s="361">
        <f t="shared" si="29"/>
        <v>224.51800000000003</v>
      </c>
      <c r="AO35" s="35">
        <f t="shared" si="29"/>
        <v>869</v>
      </c>
      <c r="AP35" s="361">
        <f t="shared" si="29"/>
        <v>239</v>
      </c>
      <c r="AQ35" s="36">
        <f t="shared" si="29"/>
        <v>268</v>
      </c>
      <c r="AR35" s="36">
        <f t="shared" si="29"/>
        <v>265</v>
      </c>
      <c r="AS35" s="361">
        <f t="shared" si="29"/>
        <v>280</v>
      </c>
      <c r="AT35" s="35">
        <f t="shared" si="29"/>
        <v>1052</v>
      </c>
      <c r="AU35" s="361">
        <f t="shared" si="29"/>
        <v>297</v>
      </c>
      <c r="AV35" s="36">
        <f t="shared" si="29"/>
        <v>332</v>
      </c>
      <c r="AW35" s="792">
        <f>AW334</f>
        <v>385</v>
      </c>
      <c r="AX35" s="439">
        <f t="shared" ref="AX35:BG35" si="30">AX167</f>
        <v>449.31916118045035</v>
      </c>
      <c r="AY35" s="440">
        <f t="shared" si="30"/>
        <v>1463.3191611804505</v>
      </c>
      <c r="AZ35" s="439">
        <f t="shared" si="30"/>
        <v>515.3330739167219</v>
      </c>
      <c r="BA35" s="439">
        <f t="shared" si="30"/>
        <v>591.67387694269951</v>
      </c>
      <c r="BB35" s="439">
        <f t="shared" si="30"/>
        <v>706.46385283217262</v>
      </c>
      <c r="BC35" s="439">
        <f t="shared" si="30"/>
        <v>829.84534121518948</v>
      </c>
      <c r="BD35" s="440">
        <f t="shared" si="30"/>
        <v>2643.3161449067834</v>
      </c>
      <c r="BE35" s="440">
        <f t="shared" si="30"/>
        <v>4346.2056744458559</v>
      </c>
      <c r="BF35" s="440">
        <f t="shared" si="30"/>
        <v>6031.5800219327875</v>
      </c>
      <c r="BG35" s="440">
        <f t="shared" si="30"/>
        <v>7791.0622713962084</v>
      </c>
      <c r="BH35" s="361"/>
    </row>
    <row r="36" spans="1:60" s="356" customFormat="1" hidden="1" outlineLevel="1" x14ac:dyDescent="0.25">
      <c r="A36" s="260" t="s">
        <v>15</v>
      </c>
      <c r="B36" s="467"/>
      <c r="C36" s="261">
        <f t="shared" ref="C36:AV36" si="31">C336</f>
        <v>0</v>
      </c>
      <c r="D36" s="261">
        <f t="shared" si="31"/>
        <v>19.666</v>
      </c>
      <c r="E36" s="261">
        <f t="shared" si="31"/>
        <v>55.673999999999999</v>
      </c>
      <c r="F36" s="261">
        <f t="shared" si="31"/>
        <v>27.556999999999999</v>
      </c>
      <c r="G36" s="262">
        <f t="shared" si="31"/>
        <v>6.5890000000000004</v>
      </c>
      <c r="H36" s="262">
        <f t="shared" si="31"/>
        <v>3.6040000000000001</v>
      </c>
      <c r="I36" s="262">
        <f t="shared" si="31"/>
        <v>1.1499999999999999</v>
      </c>
      <c r="J36" s="262">
        <f t="shared" si="31"/>
        <v>4.3669999999999991</v>
      </c>
      <c r="K36" s="261">
        <f t="shared" si="31"/>
        <v>15.71</v>
      </c>
      <c r="L36" s="262">
        <f t="shared" si="31"/>
        <v>31.670999999999999</v>
      </c>
      <c r="M36" s="262">
        <f t="shared" si="31"/>
        <v>41.52</v>
      </c>
      <c r="N36" s="262">
        <f t="shared" si="31"/>
        <v>51.889000000000003</v>
      </c>
      <c r="O36" s="262">
        <f t="shared" si="31"/>
        <v>66.265000000000001</v>
      </c>
      <c r="P36" s="261">
        <f t="shared" si="31"/>
        <v>191.34399999999999</v>
      </c>
      <c r="Q36" s="262">
        <f t="shared" si="31"/>
        <v>46.56</v>
      </c>
      <c r="R36" s="262">
        <f t="shared" si="31"/>
        <v>76.885999999999996</v>
      </c>
      <c r="S36" s="262">
        <f t="shared" si="31"/>
        <v>84.233999999999995</v>
      </c>
      <c r="T36" s="262">
        <f t="shared" si="31"/>
        <v>97.372</v>
      </c>
      <c r="U36" s="261">
        <f t="shared" si="31"/>
        <v>305.05200000000002</v>
      </c>
      <c r="V36" s="262">
        <f t="shared" si="31"/>
        <v>120.98399999999999</v>
      </c>
      <c r="W36" s="263">
        <f t="shared" si="31"/>
        <v>88.165000000000006</v>
      </c>
      <c r="X36" s="263">
        <f t="shared" si="31"/>
        <v>149.709</v>
      </c>
      <c r="Y36" s="262">
        <f t="shared" si="31"/>
        <v>159.12299999999999</v>
      </c>
      <c r="Z36" s="261">
        <f t="shared" si="31"/>
        <v>467.97199999999998</v>
      </c>
      <c r="AA36" s="262">
        <f t="shared" si="31"/>
        <v>192.726</v>
      </c>
      <c r="AB36" s="263">
        <f t="shared" si="31"/>
        <v>216.161</v>
      </c>
      <c r="AC36" s="263">
        <f t="shared" si="31"/>
        <v>304.28100000000001</v>
      </c>
      <c r="AD36" s="262">
        <f t="shared" si="31"/>
        <v>288.017</v>
      </c>
      <c r="AE36" s="261">
        <f t="shared" si="31"/>
        <v>1001.1849999999999</v>
      </c>
      <c r="AF36" s="262">
        <f t="shared" si="31"/>
        <v>263.41199999999998</v>
      </c>
      <c r="AG36" s="263">
        <f t="shared" si="31"/>
        <v>270.142</v>
      </c>
      <c r="AH36" s="263">
        <f t="shared" si="31"/>
        <v>326.33</v>
      </c>
      <c r="AI36" s="262">
        <f t="shared" si="31"/>
        <v>531.15699999999993</v>
      </c>
      <c r="AJ36" s="261">
        <f t="shared" si="31"/>
        <v>1391.0409999999999</v>
      </c>
      <c r="AK36" s="262">
        <f t="shared" si="31"/>
        <v>492.94200000000001</v>
      </c>
      <c r="AL36" s="263">
        <f t="shared" si="31"/>
        <v>605.07899999999995</v>
      </c>
      <c r="AM36" s="263">
        <f t="shared" si="31"/>
        <v>548</v>
      </c>
      <c r="AN36" s="262">
        <f t="shared" si="31"/>
        <v>579.97900000000004</v>
      </c>
      <c r="AO36" s="261">
        <f t="shared" si="31"/>
        <v>2226</v>
      </c>
      <c r="AP36" s="262">
        <f t="shared" si="31"/>
        <v>560</v>
      </c>
      <c r="AQ36" s="263">
        <f t="shared" si="31"/>
        <v>487</v>
      </c>
      <c r="AR36" s="263">
        <f t="shared" si="31"/>
        <v>581</v>
      </c>
      <c r="AS36" s="262">
        <f t="shared" si="31"/>
        <v>678</v>
      </c>
      <c r="AT36" s="261">
        <f t="shared" si="31"/>
        <v>2306</v>
      </c>
      <c r="AU36" s="262">
        <f t="shared" si="31"/>
        <v>893</v>
      </c>
      <c r="AV36" s="263">
        <f t="shared" si="31"/>
        <v>951</v>
      </c>
      <c r="AW36" s="794">
        <f>AW336</f>
        <v>894</v>
      </c>
      <c r="AX36" s="459">
        <f t="shared" ref="AX36:BG36" si="32">AX186</f>
        <v>1041.6278631333359</v>
      </c>
      <c r="AY36" s="479">
        <f t="shared" si="32"/>
        <v>3779.6278631333362</v>
      </c>
      <c r="AZ36" s="459">
        <f t="shared" si="32"/>
        <v>1523.732525922072</v>
      </c>
      <c r="BA36" s="459">
        <f t="shared" si="32"/>
        <v>1770.9096901181595</v>
      </c>
      <c r="BB36" s="459">
        <f t="shared" si="32"/>
        <v>2382.7089461623441</v>
      </c>
      <c r="BC36" s="459">
        <f t="shared" si="32"/>
        <v>2680.2378488930003</v>
      </c>
      <c r="BD36" s="479">
        <f t="shared" si="32"/>
        <v>8357.589011095577</v>
      </c>
      <c r="BE36" s="479">
        <f t="shared" si="32"/>
        <v>10681.855413661982</v>
      </c>
      <c r="BF36" s="479">
        <f t="shared" si="32"/>
        <v>12946.39626734882</v>
      </c>
      <c r="BG36" s="479">
        <f t="shared" si="32"/>
        <v>15652.538949892129</v>
      </c>
      <c r="BH36" s="361"/>
    </row>
    <row r="37" spans="1:60" s="116" customFormat="1" collapsed="1" x14ac:dyDescent="0.25">
      <c r="A37" s="436" t="s">
        <v>718</v>
      </c>
      <c r="B37" s="637"/>
      <c r="C37" s="33">
        <f t="shared" ref="C37:AH37" si="33">SUM(C34:C36)</f>
        <v>111.943</v>
      </c>
      <c r="D37" s="33">
        <f t="shared" si="33"/>
        <v>116.744</v>
      </c>
      <c r="E37" s="33">
        <f t="shared" si="33"/>
        <v>204.24200000000002</v>
      </c>
      <c r="F37" s="33">
        <f t="shared" si="33"/>
        <v>413.25600000000003</v>
      </c>
      <c r="G37" s="368">
        <f t="shared" si="33"/>
        <v>561.79200000000003</v>
      </c>
      <c r="H37" s="368">
        <f t="shared" si="33"/>
        <v>405.13900000000001</v>
      </c>
      <c r="I37" s="368">
        <f t="shared" si="33"/>
        <v>431.346</v>
      </c>
      <c r="J37" s="368">
        <f t="shared" si="33"/>
        <v>615.21900000000005</v>
      </c>
      <c r="K37" s="33">
        <f t="shared" si="33"/>
        <v>2013.4960000000001</v>
      </c>
      <c r="L37" s="368">
        <f t="shared" si="33"/>
        <v>620.54200000000003</v>
      </c>
      <c r="M37" s="368">
        <f t="shared" si="33"/>
        <v>769.34899999999993</v>
      </c>
      <c r="N37" s="368">
        <f t="shared" si="33"/>
        <v>851.80399999999997</v>
      </c>
      <c r="O37" s="368">
        <f t="shared" si="33"/>
        <v>956.66099999999994</v>
      </c>
      <c r="P37" s="33">
        <f t="shared" si="33"/>
        <v>3198.3560000000002</v>
      </c>
      <c r="Q37" s="368">
        <f t="shared" si="33"/>
        <v>939.88000000000011</v>
      </c>
      <c r="R37" s="368">
        <f t="shared" si="33"/>
        <v>954.976</v>
      </c>
      <c r="S37" s="368">
        <f t="shared" si="33"/>
        <v>936.78899999999999</v>
      </c>
      <c r="T37" s="368">
        <f t="shared" si="33"/>
        <v>1214.3800000000001</v>
      </c>
      <c r="U37" s="33">
        <f t="shared" si="33"/>
        <v>4046.0250000000001</v>
      </c>
      <c r="V37" s="368">
        <f t="shared" si="33"/>
        <v>1147.048</v>
      </c>
      <c r="W37" s="34">
        <f t="shared" si="33"/>
        <v>1270.0170000000001</v>
      </c>
      <c r="X37" s="34">
        <f t="shared" si="33"/>
        <v>2298.4359999999997</v>
      </c>
      <c r="Y37" s="368">
        <f t="shared" si="33"/>
        <v>2153.2460000000001</v>
      </c>
      <c r="Z37" s="33">
        <f t="shared" si="33"/>
        <v>6818.7379999999994</v>
      </c>
      <c r="AA37" s="368">
        <f t="shared" si="33"/>
        <v>2482.326</v>
      </c>
      <c r="AB37" s="34">
        <f t="shared" si="33"/>
        <v>2502.777</v>
      </c>
      <c r="AC37" s="34">
        <f t="shared" si="33"/>
        <v>2667.17</v>
      </c>
      <c r="AD37" s="368">
        <f t="shared" si="33"/>
        <v>2990.2119999999995</v>
      </c>
      <c r="AE37" s="33">
        <f t="shared" si="33"/>
        <v>10642.485000000001</v>
      </c>
      <c r="AF37" s="368">
        <f t="shared" si="33"/>
        <v>2998.7289999999998</v>
      </c>
      <c r="AG37" s="34">
        <f t="shared" si="33"/>
        <v>3627.8229999999994</v>
      </c>
      <c r="AH37" s="34">
        <f t="shared" si="33"/>
        <v>6425.0960000000005</v>
      </c>
      <c r="AI37" s="368">
        <f t="shared" ref="AI37:BG37" si="34">SUM(AI34:AI36)</f>
        <v>6854.3760000000011</v>
      </c>
      <c r="AJ37" s="33">
        <f t="shared" si="34"/>
        <v>19906.024000000001</v>
      </c>
      <c r="AK37" s="368">
        <f t="shared" si="34"/>
        <v>4216.8029999999999</v>
      </c>
      <c r="AL37" s="34">
        <f t="shared" si="34"/>
        <v>5981.4679999999998</v>
      </c>
      <c r="AM37" s="34">
        <f t="shared" si="34"/>
        <v>5901</v>
      </c>
      <c r="AN37" s="368">
        <f t="shared" si="34"/>
        <v>6947.7290000000003</v>
      </c>
      <c r="AO37" s="33">
        <f t="shared" si="34"/>
        <v>23047</v>
      </c>
      <c r="AP37" s="368">
        <f t="shared" si="34"/>
        <v>5692</v>
      </c>
      <c r="AQ37" s="34">
        <f t="shared" si="34"/>
        <v>5666</v>
      </c>
      <c r="AR37" s="34">
        <f t="shared" si="34"/>
        <v>8192</v>
      </c>
      <c r="AS37" s="368">
        <f t="shared" si="34"/>
        <v>9992</v>
      </c>
      <c r="AT37" s="33">
        <f t="shared" si="34"/>
        <v>29542</v>
      </c>
      <c r="AU37" s="368">
        <f t="shared" si="34"/>
        <v>9895</v>
      </c>
      <c r="AV37" s="34">
        <f t="shared" si="34"/>
        <v>11157</v>
      </c>
      <c r="AW37" s="793">
        <f t="shared" si="34"/>
        <v>12951</v>
      </c>
      <c r="AX37" s="437">
        <f t="shared" si="34"/>
        <v>15922.025907895275</v>
      </c>
      <c r="AY37" s="438">
        <f t="shared" si="34"/>
        <v>49925.02590789528</v>
      </c>
      <c r="AZ37" s="437">
        <f t="shared" si="34"/>
        <v>20570.38909994797</v>
      </c>
      <c r="BA37" s="437">
        <f t="shared" si="34"/>
        <v>23907.28081659515</v>
      </c>
      <c r="BB37" s="437">
        <f t="shared" si="34"/>
        <v>28857.252792410611</v>
      </c>
      <c r="BC37" s="437">
        <f t="shared" si="34"/>
        <v>32460.658392148562</v>
      </c>
      <c r="BD37" s="438">
        <f t="shared" si="34"/>
        <v>105795.5811011023</v>
      </c>
      <c r="BE37" s="438">
        <f t="shared" si="34"/>
        <v>129369.13778768401</v>
      </c>
      <c r="BF37" s="438">
        <f t="shared" si="34"/>
        <v>156795.24368233571</v>
      </c>
      <c r="BG37" s="438">
        <f t="shared" si="34"/>
        <v>189569.63839313801</v>
      </c>
      <c r="BH37" s="368"/>
    </row>
    <row r="38" spans="1:60" s="574" customFormat="1" x14ac:dyDescent="0.25">
      <c r="A38" s="372" t="s">
        <v>720</v>
      </c>
      <c r="B38" s="641"/>
      <c r="C38" s="191"/>
      <c r="D38" s="191"/>
      <c r="E38" s="191"/>
      <c r="F38" s="191"/>
      <c r="G38" s="1004"/>
      <c r="H38" s="572">
        <f>H37/G37-1</f>
        <v>-0.27884519537480068</v>
      </c>
      <c r="I38" s="572">
        <f>I37/H37-1</f>
        <v>6.4686440949896173E-2</v>
      </c>
      <c r="J38" s="572">
        <f>J37/I37-1</f>
        <v>0.42627728088355998</v>
      </c>
      <c r="K38" s="191"/>
      <c r="L38" s="572">
        <f>L37/J37-1</f>
        <v>8.6522035242735384E-3</v>
      </c>
      <c r="M38" s="572">
        <f>M37/L37-1</f>
        <v>0.23980165726091052</v>
      </c>
      <c r="N38" s="572">
        <f>N37/M37-1</f>
        <v>0.10717502719831962</v>
      </c>
      <c r="O38" s="572">
        <f>O37/N37-1</f>
        <v>0.12309991500392115</v>
      </c>
      <c r="P38" s="191"/>
      <c r="Q38" s="572">
        <f>Q37/O37-1</f>
        <v>-1.7541218885268495E-2</v>
      </c>
      <c r="R38" s="572">
        <f>R37/Q37-1</f>
        <v>1.6061624888283443E-2</v>
      </c>
      <c r="S38" s="572">
        <f>S37/R37-1</f>
        <v>-1.9044457661763214E-2</v>
      </c>
      <c r="T38" s="572">
        <f>T37/S37-1</f>
        <v>0.29632179711760087</v>
      </c>
      <c r="U38" s="191"/>
      <c r="V38" s="572">
        <f>V37/T37-1</f>
        <v>-5.5445577166949422E-2</v>
      </c>
      <c r="W38" s="573">
        <f>W37/V37-1</f>
        <v>0.10720475516281791</v>
      </c>
      <c r="X38" s="573">
        <f>X37/W37-1</f>
        <v>0.80976790074463545</v>
      </c>
      <c r="Y38" s="572">
        <f>Y37/X37-1</f>
        <v>-6.3169041905016932E-2</v>
      </c>
      <c r="Z38" s="191"/>
      <c r="AA38" s="572">
        <f>AA37/Y37-1</f>
        <v>0.15282972776914483</v>
      </c>
      <c r="AB38" s="573">
        <f>AB37/AA37-1</f>
        <v>8.2386439170358816E-3</v>
      </c>
      <c r="AC38" s="573">
        <f>AC37/AB37-1</f>
        <v>6.5684237948486768E-2</v>
      </c>
      <c r="AD38" s="572">
        <f>AD37/AC37-1</f>
        <v>0.12111788899845144</v>
      </c>
      <c r="AE38" s="191"/>
      <c r="AF38" s="572">
        <f>AF37/AD37-1</f>
        <v>2.8482930307283105E-3</v>
      </c>
      <c r="AG38" s="573">
        <f>AG37/AF37-1</f>
        <v>0.20978687970803622</v>
      </c>
      <c r="AH38" s="573">
        <f>AH37/AG37-1</f>
        <v>0.77106104680410303</v>
      </c>
      <c r="AI38" s="572">
        <f>AI37/AH37-1</f>
        <v>6.6813009486550889E-2</v>
      </c>
      <c r="AJ38" s="191"/>
      <c r="AK38" s="572">
        <f>AK37/AI37-1</f>
        <v>-0.38480132983658921</v>
      </c>
      <c r="AL38" s="573">
        <f>AL37/AK37-1</f>
        <v>0.41848409802402431</v>
      </c>
      <c r="AM38" s="573">
        <f>AM37/AL37-1</f>
        <v>-1.3452884810217114E-2</v>
      </c>
      <c r="AN38" s="572">
        <f>AN37/AM37-1</f>
        <v>0.17738163023216402</v>
      </c>
      <c r="AO38" s="191"/>
      <c r="AP38" s="572">
        <f>AP37/AN37-1</f>
        <v>-0.18073949055871352</v>
      </c>
      <c r="AQ38" s="573">
        <f>AQ37/AP37-1</f>
        <v>-4.5678144764581541E-3</v>
      </c>
      <c r="AR38" s="573">
        <f>AR37/AQ37-1</f>
        <v>0.44581715495940699</v>
      </c>
      <c r="AS38" s="572">
        <f>AS37/AR37-1</f>
        <v>0.2197265625</v>
      </c>
      <c r="AT38" s="191"/>
      <c r="AU38" s="572">
        <f>AU37/AS37-1</f>
        <v>-9.7077662129704256E-3</v>
      </c>
      <c r="AV38" s="573">
        <f>AV37/AU37-1</f>
        <v>0.1275391611925214</v>
      </c>
      <c r="AW38" s="844">
        <f>AW37/AV37-1</f>
        <v>0.16079591287980644</v>
      </c>
      <c r="AX38" s="1004">
        <f>AX37/AW37-1</f>
        <v>0.22940513534825691</v>
      </c>
      <c r="AY38" s="191"/>
      <c r="AZ38" s="1004">
        <f>AZ37/AX37-1</f>
        <v>0.29194546089437678</v>
      </c>
      <c r="BA38" s="1004">
        <f>BA37/AZ37-1</f>
        <v>0.16221821086775745</v>
      </c>
      <c r="BB38" s="1004">
        <f>BB37/BA37-1</f>
        <v>0.20704872351603676</v>
      </c>
      <c r="BC38" s="1004">
        <f>BC37/BB37-1</f>
        <v>0.12487001537047338</v>
      </c>
      <c r="BD38" s="191"/>
      <c r="BE38" s="191"/>
      <c r="BF38" s="191"/>
      <c r="BG38" s="191"/>
      <c r="BH38" s="572"/>
    </row>
    <row r="39" spans="1:60" s="574" customFormat="1" x14ac:dyDescent="0.25">
      <c r="A39" s="372" t="s">
        <v>719</v>
      </c>
      <c r="B39" s="641"/>
      <c r="C39" s="191"/>
      <c r="D39" s="571">
        <f>D37/C37-1</f>
        <v>4.2887898305387528E-2</v>
      </c>
      <c r="E39" s="571">
        <f>E37/D37-1</f>
        <v>0.74948605495785658</v>
      </c>
      <c r="F39" s="571">
        <f>F37/E37-1</f>
        <v>1.0233644402228728</v>
      </c>
      <c r="G39" s="1004"/>
      <c r="H39" s="1004"/>
      <c r="I39" s="1004"/>
      <c r="J39" s="1004"/>
      <c r="K39" s="571">
        <f t="shared" ref="K39:BD39" si="35">K37/F37-1</f>
        <v>3.8722728768608317</v>
      </c>
      <c r="L39" s="572">
        <f t="shared" si="35"/>
        <v>0.10457607085896559</v>
      </c>
      <c r="M39" s="572">
        <f t="shared" si="35"/>
        <v>0.89897541337664344</v>
      </c>
      <c r="N39" s="572">
        <f t="shared" si="35"/>
        <v>0.97475808283837106</v>
      </c>
      <c r="O39" s="572">
        <f t="shared" si="35"/>
        <v>0.5549926123868083</v>
      </c>
      <c r="P39" s="571">
        <f t="shared" si="35"/>
        <v>0.58845907814070664</v>
      </c>
      <c r="Q39" s="572">
        <f t="shared" si="35"/>
        <v>0.51461142033899399</v>
      </c>
      <c r="R39" s="572">
        <f t="shared" si="35"/>
        <v>0.24127801556900708</v>
      </c>
      <c r="S39" s="572">
        <f t="shared" si="35"/>
        <v>9.9770604505261762E-2</v>
      </c>
      <c r="T39" s="572">
        <f t="shared" si="35"/>
        <v>0.26939427864206889</v>
      </c>
      <c r="U39" s="571">
        <f t="shared" si="35"/>
        <v>0.26503272306147285</v>
      </c>
      <c r="V39" s="572">
        <f t="shared" si="35"/>
        <v>0.22041962803762161</v>
      </c>
      <c r="W39" s="573">
        <f t="shared" si="35"/>
        <v>0.32989415440806891</v>
      </c>
      <c r="X39" s="573">
        <f t="shared" si="35"/>
        <v>1.4535258206490465</v>
      </c>
      <c r="Y39" s="572">
        <f t="shared" si="35"/>
        <v>0.77312373392183664</v>
      </c>
      <c r="Z39" s="571">
        <f t="shared" si="35"/>
        <v>0.68529309631057633</v>
      </c>
      <c r="AA39" s="572">
        <f t="shared" si="35"/>
        <v>1.1640994971439729</v>
      </c>
      <c r="AB39" s="573">
        <f t="shared" si="35"/>
        <v>0.97066417221186807</v>
      </c>
      <c r="AC39" s="573">
        <f t="shared" si="35"/>
        <v>0.1604282216254882</v>
      </c>
      <c r="AD39" s="572">
        <f t="shared" si="35"/>
        <v>0.38869966552823021</v>
      </c>
      <c r="AE39" s="571">
        <f t="shared" si="35"/>
        <v>0.5607704827491542</v>
      </c>
      <c r="AF39" s="572">
        <f t="shared" si="35"/>
        <v>0.20803190233675983</v>
      </c>
      <c r="AG39" s="573">
        <f t="shared" si="35"/>
        <v>0.4495190742123647</v>
      </c>
      <c r="AH39" s="573">
        <f t="shared" si="35"/>
        <v>1.4089563094965825</v>
      </c>
      <c r="AI39" s="572">
        <f t="shared" si="35"/>
        <v>1.2922709159083041</v>
      </c>
      <c r="AJ39" s="571">
        <f t="shared" si="35"/>
        <v>0.87043007342739975</v>
      </c>
      <c r="AK39" s="572">
        <f t="shared" si="35"/>
        <v>0.40619675869343319</v>
      </c>
      <c r="AL39" s="573">
        <f t="shared" si="35"/>
        <v>0.64877613929896816</v>
      </c>
      <c r="AM39" s="573">
        <f t="shared" si="35"/>
        <v>-8.1570143076461488E-2</v>
      </c>
      <c r="AN39" s="572">
        <f t="shared" si="35"/>
        <v>1.3619474624677608E-2</v>
      </c>
      <c r="AO39" s="571">
        <f t="shared" si="35"/>
        <v>0.15779022470785731</v>
      </c>
      <c r="AP39" s="572">
        <f t="shared" si="35"/>
        <v>0.34983777994845866</v>
      </c>
      <c r="AQ39" s="573">
        <f t="shared" si="35"/>
        <v>-5.2740899056887058E-2</v>
      </c>
      <c r="AR39" s="573">
        <f t="shared" si="35"/>
        <v>0.38823928147771558</v>
      </c>
      <c r="AS39" s="572">
        <f t="shared" si="35"/>
        <v>0.43816778115554023</v>
      </c>
      <c r="AT39" s="571">
        <f t="shared" si="35"/>
        <v>0.28181542066212528</v>
      </c>
      <c r="AU39" s="572">
        <f t="shared" si="35"/>
        <v>0.73840477863668297</v>
      </c>
      <c r="AV39" s="573">
        <f t="shared" si="35"/>
        <v>0.96911401341334269</v>
      </c>
      <c r="AW39" s="844">
        <f t="shared" si="35"/>
        <v>0.5809326171875</v>
      </c>
      <c r="AX39" s="1004">
        <f t="shared" si="35"/>
        <v>0.59347737268767764</v>
      </c>
      <c r="AY39" s="191">
        <f t="shared" si="35"/>
        <v>0.68996770387567796</v>
      </c>
      <c r="AZ39" s="1004">
        <f t="shared" si="35"/>
        <v>1.0788670136379959</v>
      </c>
      <c r="BA39" s="1004">
        <f t="shared" si="35"/>
        <v>1.1428054868329434</v>
      </c>
      <c r="BB39" s="1004">
        <f t="shared" si="35"/>
        <v>1.2281872281994142</v>
      </c>
      <c r="BC39" s="1004">
        <f t="shared" si="35"/>
        <v>1.0387266406878695</v>
      </c>
      <c r="BD39" s="191">
        <f t="shared" si="35"/>
        <v>1.1190891577358499</v>
      </c>
      <c r="BE39" s="191">
        <f>BE37/BD37-1</f>
        <v>0.22282175154417749</v>
      </c>
      <c r="BF39" s="191">
        <f>BF37/BE37-1</f>
        <v>0.21199883035212341</v>
      </c>
      <c r="BG39" s="191">
        <f>BG37/BF37-1</f>
        <v>0.20902671497614178</v>
      </c>
      <c r="BH39" s="572"/>
    </row>
    <row r="40" spans="1:60" s="116" customFormat="1" x14ac:dyDescent="0.25">
      <c r="A40" s="530"/>
      <c r="B40" s="637"/>
      <c r="C40" s="438"/>
      <c r="D40" s="438"/>
      <c r="E40" s="438"/>
      <c r="F40" s="438"/>
      <c r="G40" s="437"/>
      <c r="H40" s="437"/>
      <c r="I40" s="437"/>
      <c r="J40" s="437"/>
      <c r="K40" s="438"/>
      <c r="L40" s="437"/>
      <c r="M40" s="437"/>
      <c r="N40" s="437"/>
      <c r="O40" s="437"/>
      <c r="P40" s="438"/>
      <c r="Q40" s="437"/>
      <c r="R40" s="437"/>
      <c r="S40" s="437"/>
      <c r="T40" s="437"/>
      <c r="U40" s="438"/>
      <c r="V40" s="437"/>
      <c r="W40" s="437"/>
      <c r="X40" s="437"/>
      <c r="Y40" s="437"/>
      <c r="Z40" s="438"/>
      <c r="AA40" s="437"/>
      <c r="AB40" s="437"/>
      <c r="AC40" s="437"/>
      <c r="AD40" s="437"/>
      <c r="AE40" s="438"/>
      <c r="AF40" s="437"/>
      <c r="AG40" s="437"/>
      <c r="AH40" s="437"/>
      <c r="AI40" s="437"/>
      <c r="AJ40" s="438"/>
      <c r="AK40" s="437"/>
      <c r="AL40" s="437"/>
      <c r="AM40" s="437"/>
      <c r="AN40" s="437"/>
      <c r="AO40" s="438"/>
      <c r="AP40" s="437"/>
      <c r="AQ40" s="437"/>
      <c r="AR40" s="437"/>
      <c r="AS40" s="437"/>
      <c r="AT40" s="438"/>
      <c r="AU40" s="437"/>
      <c r="AV40" s="437"/>
      <c r="AW40" s="725"/>
      <c r="AX40" s="437"/>
      <c r="AY40" s="438"/>
      <c r="AZ40" s="437"/>
      <c r="BA40" s="437"/>
      <c r="BB40" s="437"/>
      <c r="BC40" s="437"/>
      <c r="BD40" s="438"/>
      <c r="BE40" s="438"/>
      <c r="BF40" s="438"/>
      <c r="BG40" s="438"/>
      <c r="BH40" s="368"/>
    </row>
    <row r="41" spans="1:60" s="356" customFormat="1" x14ac:dyDescent="0.25">
      <c r="A41" s="554" t="s">
        <v>639</v>
      </c>
      <c r="B41" s="577"/>
      <c r="C41" s="440"/>
      <c r="D41" s="440"/>
      <c r="E41" s="440"/>
      <c r="F41" s="440"/>
      <c r="G41" s="439"/>
      <c r="H41" s="439"/>
      <c r="I41" s="439"/>
      <c r="J41" s="439"/>
      <c r="K41" s="440"/>
      <c r="L41" s="439"/>
      <c r="M41" s="439"/>
      <c r="N41" s="439"/>
      <c r="O41" s="439"/>
      <c r="P41" s="440"/>
      <c r="Q41" s="439"/>
      <c r="R41" s="439"/>
      <c r="S41" s="439"/>
      <c r="T41" s="439"/>
      <c r="U41" s="440"/>
      <c r="V41" s="439"/>
      <c r="W41" s="439"/>
      <c r="X41" s="439"/>
      <c r="Y41" s="439"/>
      <c r="Z41" s="440"/>
      <c r="AA41" s="439"/>
      <c r="AB41" s="439"/>
      <c r="AC41" s="439"/>
      <c r="AD41" s="439"/>
      <c r="AE41" s="440"/>
      <c r="AF41" s="439">
        <f t="shared" ref="AF41:AW41" si="36">AF195</f>
        <v>76</v>
      </c>
      <c r="AG41" s="439">
        <f t="shared" si="36"/>
        <v>84</v>
      </c>
      <c r="AH41" s="439">
        <f t="shared" si="36"/>
        <v>93</v>
      </c>
      <c r="AI41" s="439">
        <f t="shared" si="36"/>
        <v>73</v>
      </c>
      <c r="AJ41" s="440">
        <f t="shared" si="36"/>
        <v>326</v>
      </c>
      <c r="AK41" s="439">
        <f t="shared" si="36"/>
        <v>47</v>
      </c>
      <c r="AL41" s="439">
        <f t="shared" si="36"/>
        <v>29</v>
      </c>
      <c r="AM41" s="439">
        <f t="shared" si="36"/>
        <v>43</v>
      </c>
      <c r="AN41" s="439">
        <f t="shared" si="36"/>
        <v>54</v>
      </c>
      <c r="AO41" s="440">
        <f t="shared" si="36"/>
        <v>173</v>
      </c>
      <c r="AP41" s="439">
        <f t="shared" si="36"/>
        <v>35</v>
      </c>
      <c r="AQ41" s="439">
        <f t="shared" si="36"/>
        <v>27</v>
      </c>
      <c r="AR41" s="439">
        <f t="shared" si="36"/>
        <v>57</v>
      </c>
      <c r="AS41" s="439">
        <f t="shared" si="36"/>
        <v>86</v>
      </c>
      <c r="AT41" s="440">
        <f t="shared" si="36"/>
        <v>205</v>
      </c>
      <c r="AU41" s="439">
        <f t="shared" si="36"/>
        <v>92</v>
      </c>
      <c r="AV41" s="439">
        <f t="shared" si="36"/>
        <v>85</v>
      </c>
      <c r="AW41" s="726">
        <f t="shared" si="36"/>
        <v>83</v>
      </c>
      <c r="AX41" s="439"/>
      <c r="AY41" s="440"/>
      <c r="AZ41" s="439"/>
      <c r="BA41" s="439"/>
      <c r="BB41" s="439"/>
      <c r="BC41" s="439"/>
      <c r="BD41" s="440"/>
      <c r="BE41" s="440"/>
      <c r="BF41" s="440"/>
      <c r="BG41" s="440"/>
      <c r="BH41" s="361"/>
    </row>
    <row r="42" spans="1:60" s="356" customFormat="1" x14ac:dyDescent="0.25">
      <c r="A42" s="554" t="s">
        <v>638</v>
      </c>
      <c r="B42" s="577"/>
      <c r="C42" s="440"/>
      <c r="D42" s="440"/>
      <c r="E42" s="440"/>
      <c r="F42" s="440"/>
      <c r="G42" s="439"/>
      <c r="H42" s="439"/>
      <c r="I42" s="439"/>
      <c r="J42" s="439"/>
      <c r="K42" s="440"/>
      <c r="L42" s="439"/>
      <c r="M42" s="439"/>
      <c r="N42" s="439"/>
      <c r="O42" s="439"/>
      <c r="P42" s="440"/>
      <c r="Q42" s="439"/>
      <c r="R42" s="439"/>
      <c r="S42" s="439"/>
      <c r="T42" s="439"/>
      <c r="U42" s="440"/>
      <c r="V42" s="439"/>
      <c r="W42" s="439"/>
      <c r="X42" s="439"/>
      <c r="Y42" s="439"/>
      <c r="Z42" s="440"/>
      <c r="AA42" s="439"/>
      <c r="AB42" s="439"/>
      <c r="AC42" s="439"/>
      <c r="AD42" s="439"/>
      <c r="AE42" s="440">
        <f>AE197</f>
        <v>358</v>
      </c>
      <c r="AF42" s="439">
        <f t="shared" ref="AF42:AW42" si="37">AF197</f>
        <v>373</v>
      </c>
      <c r="AG42" s="439">
        <f t="shared" si="37"/>
        <v>203</v>
      </c>
      <c r="AH42" s="439">
        <f t="shared" si="37"/>
        <v>240</v>
      </c>
      <c r="AI42" s="439">
        <f t="shared" si="37"/>
        <v>225</v>
      </c>
      <c r="AJ42" s="440">
        <f t="shared" si="37"/>
        <v>1041</v>
      </c>
      <c r="AK42" s="439">
        <f t="shared" si="37"/>
        <v>229</v>
      </c>
      <c r="AL42" s="439">
        <f t="shared" si="37"/>
        <v>415</v>
      </c>
      <c r="AM42" s="439">
        <f t="shared" si="37"/>
        <v>477</v>
      </c>
      <c r="AN42" s="439">
        <f t="shared" si="37"/>
        <v>530</v>
      </c>
      <c r="AO42" s="440">
        <f t="shared" si="37"/>
        <v>1651</v>
      </c>
      <c r="AP42" s="439">
        <f t="shared" si="37"/>
        <v>260</v>
      </c>
      <c r="AQ42" s="439">
        <f t="shared" si="37"/>
        <v>419</v>
      </c>
      <c r="AR42" s="439">
        <f t="shared" si="37"/>
        <v>759</v>
      </c>
      <c r="AS42" s="439">
        <f t="shared" si="37"/>
        <v>1584</v>
      </c>
      <c r="AT42" s="440">
        <f t="shared" si="37"/>
        <v>3022</v>
      </c>
      <c r="AU42" s="439">
        <f t="shared" si="37"/>
        <v>445</v>
      </c>
      <c r="AV42" s="439">
        <f t="shared" si="37"/>
        <v>1274</v>
      </c>
      <c r="AW42" s="726">
        <f t="shared" si="37"/>
        <v>1295</v>
      </c>
      <c r="AX42" s="439"/>
      <c r="AY42" s="440"/>
      <c r="AZ42" s="439"/>
      <c r="BA42" s="439"/>
      <c r="BB42" s="439"/>
      <c r="BC42" s="439"/>
      <c r="BD42" s="440"/>
      <c r="BE42" s="440"/>
      <c r="BF42" s="440"/>
      <c r="BG42" s="440"/>
      <c r="BH42" s="361"/>
    </row>
    <row r="43" spans="1:60" s="356" customFormat="1" x14ac:dyDescent="0.25">
      <c r="A43" s="554" t="s">
        <v>642</v>
      </c>
      <c r="B43" s="577"/>
      <c r="C43" s="440"/>
      <c r="D43" s="440"/>
      <c r="E43" s="440"/>
      <c r="F43" s="440"/>
      <c r="G43" s="439"/>
      <c r="H43" s="439"/>
      <c r="I43" s="439"/>
      <c r="J43" s="439"/>
      <c r="K43" s="440"/>
      <c r="L43" s="439"/>
      <c r="M43" s="439"/>
      <c r="N43" s="439"/>
      <c r="O43" s="439"/>
      <c r="P43" s="440"/>
      <c r="Q43" s="439"/>
      <c r="R43" s="439"/>
      <c r="S43" s="439"/>
      <c r="T43" s="439"/>
      <c r="U43" s="440"/>
      <c r="V43" s="439"/>
      <c r="W43" s="439"/>
      <c r="X43" s="439"/>
      <c r="Y43" s="439"/>
      <c r="Z43" s="440">
        <f t="shared" ref="Z43:BG43" si="38">Z205</f>
        <v>5919.88</v>
      </c>
      <c r="AA43" s="439">
        <f t="shared" si="38"/>
        <v>6085.99</v>
      </c>
      <c r="AB43" s="439">
        <f t="shared" si="38"/>
        <v>6218.5039999999999</v>
      </c>
      <c r="AC43" s="439">
        <f t="shared" si="38"/>
        <v>6287.9650000000001</v>
      </c>
      <c r="AD43" s="439">
        <f t="shared" si="38"/>
        <v>6347.49</v>
      </c>
      <c r="AE43" s="440">
        <f t="shared" si="38"/>
        <v>6347.49</v>
      </c>
      <c r="AF43" s="439">
        <f t="shared" si="38"/>
        <v>6346.3739999999998</v>
      </c>
      <c r="AG43" s="439">
        <f t="shared" si="38"/>
        <v>6340.0309999999999</v>
      </c>
      <c r="AH43" s="439">
        <f t="shared" si="38"/>
        <v>6301.5370000000003</v>
      </c>
      <c r="AI43" s="439">
        <f t="shared" si="38"/>
        <v>6271.3959999999997</v>
      </c>
      <c r="AJ43" s="440">
        <f t="shared" si="38"/>
        <v>6271.3959999999997</v>
      </c>
      <c r="AK43" s="439">
        <f t="shared" si="38"/>
        <v>6241.6369999999997</v>
      </c>
      <c r="AL43" s="439">
        <f t="shared" si="38"/>
        <v>6200.7039999999997</v>
      </c>
      <c r="AM43" s="439">
        <f t="shared" si="38"/>
        <v>6168</v>
      </c>
      <c r="AN43" s="439">
        <f t="shared" si="38"/>
        <v>6138</v>
      </c>
      <c r="AO43" s="440">
        <f t="shared" si="38"/>
        <v>6138</v>
      </c>
      <c r="AP43" s="439">
        <f t="shared" si="38"/>
        <v>6106</v>
      </c>
      <c r="AQ43" s="439">
        <f t="shared" si="38"/>
        <v>6069</v>
      </c>
      <c r="AR43" s="439">
        <f t="shared" si="38"/>
        <v>6025</v>
      </c>
      <c r="AS43" s="439">
        <f t="shared" si="38"/>
        <v>5979</v>
      </c>
      <c r="AT43" s="440">
        <f t="shared" si="38"/>
        <v>5979</v>
      </c>
      <c r="AU43" s="439">
        <f t="shared" si="38"/>
        <v>5933</v>
      </c>
      <c r="AV43" s="439">
        <f t="shared" si="38"/>
        <v>5883</v>
      </c>
      <c r="AW43" s="726">
        <f t="shared" si="38"/>
        <v>5821</v>
      </c>
      <c r="AX43" s="439">
        <f t="shared" si="38"/>
        <v>5781</v>
      </c>
      <c r="AY43" s="440">
        <f t="shared" si="38"/>
        <v>5781</v>
      </c>
      <c r="AZ43" s="439">
        <f t="shared" si="38"/>
        <v>5741</v>
      </c>
      <c r="BA43" s="439">
        <f t="shared" si="38"/>
        <v>5701</v>
      </c>
      <c r="BB43" s="439">
        <f t="shared" si="38"/>
        <v>5661</v>
      </c>
      <c r="BC43" s="439">
        <f t="shared" si="38"/>
        <v>5621</v>
      </c>
      <c r="BD43" s="440">
        <f t="shared" si="38"/>
        <v>5621</v>
      </c>
      <c r="BE43" s="440">
        <f t="shared" si="38"/>
        <v>5461</v>
      </c>
      <c r="BF43" s="440">
        <f t="shared" si="38"/>
        <v>5301</v>
      </c>
      <c r="BG43" s="440">
        <f t="shared" si="38"/>
        <v>5141</v>
      </c>
      <c r="BH43" s="361"/>
    </row>
    <row r="44" spans="1:60" s="356" customFormat="1" x14ac:dyDescent="0.25">
      <c r="A44" s="526"/>
      <c r="B44" s="577"/>
      <c r="C44" s="440"/>
      <c r="D44" s="440"/>
      <c r="E44" s="440"/>
      <c r="F44" s="440"/>
      <c r="G44" s="439"/>
      <c r="H44" s="439"/>
      <c r="I44" s="439"/>
      <c r="J44" s="439"/>
      <c r="K44" s="440"/>
      <c r="L44" s="439"/>
      <c r="M44" s="439"/>
      <c r="N44" s="439"/>
      <c r="O44" s="439"/>
      <c r="P44" s="440"/>
      <c r="Q44" s="439"/>
      <c r="R44" s="439"/>
      <c r="S44" s="439"/>
      <c r="T44" s="439"/>
      <c r="U44" s="440"/>
      <c r="V44" s="439"/>
      <c r="W44" s="439"/>
      <c r="X44" s="439"/>
      <c r="Y44" s="439"/>
      <c r="Z44" s="440"/>
      <c r="AA44" s="439"/>
      <c r="AB44" s="439"/>
      <c r="AC44" s="439"/>
      <c r="AD44" s="439"/>
      <c r="AE44" s="440"/>
      <c r="AF44" s="439"/>
      <c r="AG44" s="439"/>
      <c r="AH44" s="439"/>
      <c r="AI44" s="439"/>
      <c r="AJ44" s="440"/>
      <c r="AK44" s="439"/>
      <c r="AL44" s="439"/>
      <c r="AM44" s="439"/>
      <c r="AN44" s="439"/>
      <c r="AO44" s="440"/>
      <c r="AP44" s="439"/>
      <c r="AQ44" s="439"/>
      <c r="AR44" s="439"/>
      <c r="AS44" s="439"/>
      <c r="AT44" s="440"/>
      <c r="AU44" s="439"/>
      <c r="AV44" s="439"/>
      <c r="AW44" s="726"/>
      <c r="AX44" s="439"/>
      <c r="AY44" s="440"/>
      <c r="AZ44" s="439"/>
      <c r="BA44" s="439"/>
      <c r="BB44" s="439"/>
      <c r="BC44" s="439"/>
      <c r="BD44" s="440"/>
      <c r="BE44" s="440"/>
      <c r="BF44" s="440"/>
      <c r="BG44" s="440"/>
      <c r="BH44" s="361"/>
    </row>
    <row r="45" spans="1:60" s="116" customFormat="1" x14ac:dyDescent="0.25">
      <c r="A45" s="436" t="s">
        <v>640</v>
      </c>
      <c r="B45" s="637"/>
      <c r="C45" s="438"/>
      <c r="D45" s="438"/>
      <c r="E45" s="438"/>
      <c r="F45" s="438"/>
      <c r="G45" s="437"/>
      <c r="H45" s="437"/>
      <c r="I45" s="437"/>
      <c r="J45" s="437"/>
      <c r="K45" s="438"/>
      <c r="L45" s="437"/>
      <c r="M45" s="437"/>
      <c r="N45" s="437"/>
      <c r="O45" s="437"/>
      <c r="P45" s="438"/>
      <c r="Q45" s="437"/>
      <c r="R45" s="437"/>
      <c r="S45" s="437"/>
      <c r="T45" s="437"/>
      <c r="U45" s="438"/>
      <c r="V45" s="437"/>
      <c r="W45" s="437"/>
      <c r="X45" s="437"/>
      <c r="Y45" s="368">
        <f t="shared" ref="Y45:AV45" si="39">Y335</f>
        <v>131.38499999999999</v>
      </c>
      <c r="Z45" s="33">
        <f t="shared" si="39"/>
        <v>181.39400000000001</v>
      </c>
      <c r="AA45" s="368">
        <f t="shared" si="39"/>
        <v>213.94399999999999</v>
      </c>
      <c r="AB45" s="34">
        <f t="shared" si="39"/>
        <v>286.77999999999997</v>
      </c>
      <c r="AC45" s="34">
        <f t="shared" si="39"/>
        <v>317.505</v>
      </c>
      <c r="AD45" s="368">
        <f t="shared" si="39"/>
        <v>298.03699999999998</v>
      </c>
      <c r="AE45" s="33">
        <f t="shared" si="39"/>
        <v>1116.2660000000001</v>
      </c>
      <c r="AF45" s="368">
        <f t="shared" si="39"/>
        <v>410.02199999999999</v>
      </c>
      <c r="AG45" s="34">
        <f t="shared" si="39"/>
        <v>374.40800000000002</v>
      </c>
      <c r="AH45" s="34">
        <f t="shared" si="39"/>
        <v>399.31700000000001</v>
      </c>
      <c r="AI45" s="368">
        <f t="shared" si="39"/>
        <v>371.49699999999984</v>
      </c>
      <c r="AJ45" s="33">
        <f t="shared" si="39"/>
        <v>1555.2439999999999</v>
      </c>
      <c r="AK45" s="368">
        <f t="shared" si="39"/>
        <v>324.661</v>
      </c>
      <c r="AL45" s="34">
        <f t="shared" si="39"/>
        <v>368.20800000000003</v>
      </c>
      <c r="AM45" s="34">
        <f t="shared" si="39"/>
        <v>402</v>
      </c>
      <c r="AN45" s="368">
        <f t="shared" si="39"/>
        <v>436.13099999999986</v>
      </c>
      <c r="AO45" s="33">
        <f t="shared" si="39"/>
        <v>1531</v>
      </c>
      <c r="AP45" s="368">
        <f t="shared" si="39"/>
        <v>293</v>
      </c>
      <c r="AQ45" s="34">
        <f t="shared" si="39"/>
        <v>370</v>
      </c>
      <c r="AR45" s="34">
        <f t="shared" si="39"/>
        <v>579</v>
      </c>
      <c r="AS45" s="368">
        <f t="shared" si="39"/>
        <v>752</v>
      </c>
      <c r="AT45" s="33">
        <f t="shared" si="39"/>
        <v>1994</v>
      </c>
      <c r="AU45" s="368">
        <f t="shared" si="39"/>
        <v>494</v>
      </c>
      <c r="AV45" s="34">
        <f t="shared" si="39"/>
        <v>801</v>
      </c>
      <c r="AW45" s="793">
        <f>AW335</f>
        <v>806</v>
      </c>
      <c r="AX45" s="437">
        <f t="shared" ref="AX45:BG45" si="40">AX214</f>
        <v>977.02499999999998</v>
      </c>
      <c r="AY45" s="438">
        <f t="shared" si="40"/>
        <v>3078.0250000000001</v>
      </c>
      <c r="AZ45" s="437">
        <f t="shared" si="40"/>
        <v>833.42499999999995</v>
      </c>
      <c r="BA45" s="437">
        <f t="shared" si="40"/>
        <v>1318.4250000000002</v>
      </c>
      <c r="BB45" s="437">
        <f t="shared" si="40"/>
        <v>1333.6250000000002</v>
      </c>
      <c r="BC45" s="437">
        <f t="shared" si="40"/>
        <v>1638.6250000000002</v>
      </c>
      <c r="BD45" s="438">
        <f t="shared" si="40"/>
        <v>5124.1000000000013</v>
      </c>
      <c r="BE45" s="438">
        <f t="shared" si="40"/>
        <v>7385.1000000000022</v>
      </c>
      <c r="BF45" s="438">
        <f t="shared" si="40"/>
        <v>10784.600000000004</v>
      </c>
      <c r="BG45" s="438">
        <f t="shared" si="40"/>
        <v>15891.850000000006</v>
      </c>
      <c r="BH45" s="368"/>
    </row>
    <row r="46" spans="1:60" s="116" customFormat="1" x14ac:dyDescent="0.25">
      <c r="A46" s="892" t="s">
        <v>723</v>
      </c>
      <c r="B46" s="903"/>
      <c r="C46" s="191"/>
      <c r="D46" s="191"/>
      <c r="E46" s="191"/>
      <c r="F46" s="191"/>
      <c r="G46" s="1004"/>
      <c r="H46" s="1004"/>
      <c r="I46" s="1004"/>
      <c r="J46" s="1004"/>
      <c r="K46" s="191"/>
      <c r="L46" s="1004"/>
      <c r="M46" s="1004"/>
      <c r="N46" s="1004"/>
      <c r="O46" s="1004"/>
      <c r="P46" s="191"/>
      <c r="Q46" s="1004"/>
      <c r="R46" s="1004"/>
      <c r="S46" s="1004"/>
      <c r="T46" s="1004"/>
      <c r="U46" s="191"/>
      <c r="V46" s="1004"/>
      <c r="W46" s="1004"/>
      <c r="X46" s="1004"/>
      <c r="Y46" s="1004"/>
      <c r="Z46" s="191"/>
      <c r="AA46" s="572">
        <f>AA45/Y45-1</f>
        <v>0.62837462419606505</v>
      </c>
      <c r="AB46" s="573">
        <f>AB45/AA45-1</f>
        <v>0.34044422839621569</v>
      </c>
      <c r="AC46" s="573">
        <f>AC45/AB45-1</f>
        <v>0.10713787572355127</v>
      </c>
      <c r="AD46" s="572">
        <f>AD45/AC45-1</f>
        <v>-6.1315569833546024E-2</v>
      </c>
      <c r="AE46" s="191"/>
      <c r="AF46" s="572">
        <f>AF45/AD45-1</f>
        <v>0.37574193808151346</v>
      </c>
      <c r="AG46" s="573">
        <f>AG45/AF45-1</f>
        <v>-8.6858753920521226E-2</v>
      </c>
      <c r="AH46" s="573">
        <f>AH45/AG45-1</f>
        <v>6.6529027157539389E-2</v>
      </c>
      <c r="AI46" s="572">
        <f>AI45/AH45-1</f>
        <v>-6.9668959748771409E-2</v>
      </c>
      <c r="AJ46" s="191"/>
      <c r="AK46" s="572">
        <f>AK45/AI45-1</f>
        <v>-0.12607369642285093</v>
      </c>
      <c r="AL46" s="573">
        <f>AL45/AK45-1</f>
        <v>0.1341306778455067</v>
      </c>
      <c r="AM46" s="573">
        <f>AM45/AL45-1</f>
        <v>9.177421457437096E-2</v>
      </c>
      <c r="AN46" s="572">
        <f>AN45/AM45-1</f>
        <v>8.4902985074626569E-2</v>
      </c>
      <c r="AO46" s="191"/>
      <c r="AP46" s="572">
        <f>AP45/AN45-1</f>
        <v>-0.32818350449750167</v>
      </c>
      <c r="AQ46" s="573">
        <f>AQ45/AP45-1</f>
        <v>0.2627986348122866</v>
      </c>
      <c r="AR46" s="573">
        <f>AR45/AQ45-1</f>
        <v>0.56486486486486487</v>
      </c>
      <c r="AS46" s="572">
        <f>AS45/AR45-1</f>
        <v>0.29879101899827298</v>
      </c>
      <c r="AT46" s="191"/>
      <c r="AU46" s="572">
        <f>AU45/AS45-1</f>
        <v>-0.34308510638297873</v>
      </c>
      <c r="AV46" s="573">
        <f>AV45/AU45-1</f>
        <v>0.62145748987854255</v>
      </c>
      <c r="AW46" s="844">
        <f>AW45/AV45-1</f>
        <v>6.2421972534332237E-3</v>
      </c>
      <c r="AX46" s="1004">
        <f>AX45/AW45-1</f>
        <v>0.21218982630272953</v>
      </c>
      <c r="AY46" s="191"/>
      <c r="AZ46" s="1004">
        <f>AZ45/AX45-1</f>
        <v>-0.14697679179140766</v>
      </c>
      <c r="BA46" s="1004">
        <f>BA45/AZ45-1</f>
        <v>0.5819359870414258</v>
      </c>
      <c r="BB46" s="1004">
        <f>BB45/BA45-1</f>
        <v>1.1528907598081117E-2</v>
      </c>
      <c r="BC46" s="1004">
        <f>BC45/BB45-1</f>
        <v>0.22869997188115088</v>
      </c>
      <c r="BD46" s="191"/>
      <c r="BE46" s="191"/>
      <c r="BF46" s="191"/>
      <c r="BG46" s="191"/>
      <c r="BH46" s="368"/>
    </row>
    <row r="47" spans="1:60" s="574" customFormat="1" x14ac:dyDescent="0.25">
      <c r="A47" s="372" t="s">
        <v>724</v>
      </c>
      <c r="B47" s="641"/>
      <c r="C47" s="191"/>
      <c r="D47" s="191"/>
      <c r="E47" s="191"/>
      <c r="F47" s="191"/>
      <c r="G47" s="1004"/>
      <c r="H47" s="1004"/>
      <c r="I47" s="1004"/>
      <c r="J47" s="1004"/>
      <c r="K47" s="191"/>
      <c r="L47" s="1004"/>
      <c r="M47" s="1004"/>
      <c r="N47" s="1004"/>
      <c r="O47" s="1004"/>
      <c r="P47" s="191"/>
      <c r="Q47" s="1004"/>
      <c r="R47" s="1004"/>
      <c r="S47" s="1004"/>
      <c r="T47" s="1004"/>
      <c r="U47" s="191"/>
      <c r="V47" s="1004"/>
      <c r="W47" s="1004"/>
      <c r="X47" s="1004"/>
      <c r="Y47" s="1004"/>
      <c r="Z47" s="191"/>
      <c r="AA47" s="1004"/>
      <c r="AB47" s="1004"/>
      <c r="AC47" s="1004"/>
      <c r="AD47" s="572">
        <f t="shared" ref="AD47:BD47" si="41">AD45/Y45-1</f>
        <v>1.2684248582410471</v>
      </c>
      <c r="AE47" s="571">
        <f t="shared" si="41"/>
        <v>5.1538198617374338</v>
      </c>
      <c r="AF47" s="572">
        <f t="shared" si="41"/>
        <v>0.91649216617432616</v>
      </c>
      <c r="AG47" s="573">
        <f t="shared" si="41"/>
        <v>0.30555826766162242</v>
      </c>
      <c r="AH47" s="573">
        <f t="shared" si="41"/>
        <v>0.25767153273176802</v>
      </c>
      <c r="AI47" s="572">
        <f t="shared" si="41"/>
        <v>0.24647946395917253</v>
      </c>
      <c r="AJ47" s="571">
        <f t="shared" si="41"/>
        <v>0.39325572936916453</v>
      </c>
      <c r="AK47" s="572">
        <f t="shared" si="41"/>
        <v>-0.20818638999858541</v>
      </c>
      <c r="AL47" s="573">
        <f t="shared" si="41"/>
        <v>-1.655947522488832E-2</v>
      </c>
      <c r="AM47" s="573">
        <f t="shared" si="41"/>
        <v>6.7189726457925758E-3</v>
      </c>
      <c r="AN47" s="572">
        <f t="shared" si="41"/>
        <v>0.17398256244330379</v>
      </c>
      <c r="AO47" s="571">
        <f t="shared" si="41"/>
        <v>-1.5588550735447293E-2</v>
      </c>
      <c r="AP47" s="572">
        <f t="shared" si="41"/>
        <v>-9.7520182590455917E-2</v>
      </c>
      <c r="AQ47" s="573">
        <f t="shared" si="41"/>
        <v>4.8668144092469667E-3</v>
      </c>
      <c r="AR47" s="573">
        <f t="shared" si="41"/>
        <v>0.44029850746268662</v>
      </c>
      <c r="AS47" s="572">
        <f t="shared" si="41"/>
        <v>0.72425257548764077</v>
      </c>
      <c r="AT47" s="571">
        <f t="shared" si="41"/>
        <v>0.30241672109732209</v>
      </c>
      <c r="AU47" s="572">
        <f t="shared" si="41"/>
        <v>0.68600682593856654</v>
      </c>
      <c r="AV47" s="573">
        <f t="shared" si="41"/>
        <v>1.1648648648648647</v>
      </c>
      <c r="AW47" s="844">
        <f t="shared" si="41"/>
        <v>0.39205526770293608</v>
      </c>
      <c r="AX47" s="1004">
        <f t="shared" si="41"/>
        <v>0.29923537234042552</v>
      </c>
      <c r="AY47" s="191">
        <f t="shared" si="41"/>
        <v>0.54364343029087259</v>
      </c>
      <c r="AZ47" s="1004">
        <f t="shared" si="41"/>
        <v>0.68709514170040475</v>
      </c>
      <c r="BA47" s="1004">
        <f t="shared" si="41"/>
        <v>0.64597378277153572</v>
      </c>
      <c r="BB47" s="1004">
        <f t="shared" si="41"/>
        <v>0.65462158808933024</v>
      </c>
      <c r="BC47" s="1004">
        <f t="shared" si="41"/>
        <v>0.67715769811417337</v>
      </c>
      <c r="BD47" s="191">
        <f t="shared" si="41"/>
        <v>0.66473631630672303</v>
      </c>
      <c r="BE47" s="191">
        <f>BE45/BD45-1</f>
        <v>0.44124821919946933</v>
      </c>
      <c r="BF47" s="191">
        <f>BF45/BE45-1</f>
        <v>0.46031874991537025</v>
      </c>
      <c r="BG47" s="191">
        <f>BG45/BF45-1</f>
        <v>0.47356879253750717</v>
      </c>
      <c r="BH47" s="572"/>
    </row>
    <row r="48" spans="1:60" s="116" customFormat="1" x14ac:dyDescent="0.25">
      <c r="A48" s="86" t="s">
        <v>17</v>
      </c>
      <c r="B48" s="636"/>
      <c r="C48" s="29">
        <f t="shared" ref="C48:AH48" si="42">C37+C45</f>
        <v>111.943</v>
      </c>
      <c r="D48" s="29">
        <f t="shared" si="42"/>
        <v>116.744</v>
      </c>
      <c r="E48" s="29">
        <f t="shared" si="42"/>
        <v>204.24200000000002</v>
      </c>
      <c r="F48" s="29">
        <f t="shared" si="42"/>
        <v>413.25600000000003</v>
      </c>
      <c r="G48" s="30">
        <f t="shared" si="42"/>
        <v>561.79200000000003</v>
      </c>
      <c r="H48" s="30">
        <f t="shared" si="42"/>
        <v>405.13900000000001</v>
      </c>
      <c r="I48" s="30">
        <f t="shared" si="42"/>
        <v>431.346</v>
      </c>
      <c r="J48" s="30">
        <f t="shared" si="42"/>
        <v>615.21900000000005</v>
      </c>
      <c r="K48" s="29">
        <f t="shared" si="42"/>
        <v>2013.4960000000001</v>
      </c>
      <c r="L48" s="30">
        <f t="shared" si="42"/>
        <v>620.54200000000003</v>
      </c>
      <c r="M48" s="30">
        <f t="shared" si="42"/>
        <v>769.34899999999993</v>
      </c>
      <c r="N48" s="30">
        <f t="shared" si="42"/>
        <v>851.80399999999997</v>
      </c>
      <c r="O48" s="30">
        <f t="shared" si="42"/>
        <v>956.66099999999994</v>
      </c>
      <c r="P48" s="29">
        <f t="shared" si="42"/>
        <v>3198.3560000000002</v>
      </c>
      <c r="Q48" s="30">
        <f t="shared" si="42"/>
        <v>939.88000000000011</v>
      </c>
      <c r="R48" s="30">
        <f t="shared" si="42"/>
        <v>954.976</v>
      </c>
      <c r="S48" s="30">
        <f t="shared" si="42"/>
        <v>936.78899999999999</v>
      </c>
      <c r="T48" s="30">
        <f t="shared" si="42"/>
        <v>1214.3800000000001</v>
      </c>
      <c r="U48" s="29">
        <f t="shared" si="42"/>
        <v>4046.0250000000001</v>
      </c>
      <c r="V48" s="30">
        <f t="shared" si="42"/>
        <v>1147.048</v>
      </c>
      <c r="W48" s="31">
        <f t="shared" si="42"/>
        <v>1270.0170000000001</v>
      </c>
      <c r="X48" s="31">
        <f t="shared" si="42"/>
        <v>2298.4359999999997</v>
      </c>
      <c r="Y48" s="30">
        <f t="shared" si="42"/>
        <v>2284.6310000000003</v>
      </c>
      <c r="Z48" s="29">
        <f t="shared" si="42"/>
        <v>7000.1319999999996</v>
      </c>
      <c r="AA48" s="30">
        <f t="shared" si="42"/>
        <v>2696.27</v>
      </c>
      <c r="AB48" s="31">
        <f t="shared" si="42"/>
        <v>2789.5569999999998</v>
      </c>
      <c r="AC48" s="31">
        <f t="shared" si="42"/>
        <v>2984.6750000000002</v>
      </c>
      <c r="AD48" s="30">
        <f t="shared" si="42"/>
        <v>3288.2489999999993</v>
      </c>
      <c r="AE48" s="29">
        <f t="shared" si="42"/>
        <v>11758.751</v>
      </c>
      <c r="AF48" s="30">
        <f t="shared" si="42"/>
        <v>3408.7509999999997</v>
      </c>
      <c r="AG48" s="31">
        <f t="shared" si="42"/>
        <v>4002.2309999999993</v>
      </c>
      <c r="AH48" s="31">
        <f t="shared" si="42"/>
        <v>6824.4130000000005</v>
      </c>
      <c r="AI48" s="30">
        <f t="shared" ref="AI48:BG48" si="43">AI37+AI45</f>
        <v>7225.8730000000014</v>
      </c>
      <c r="AJ48" s="29">
        <f t="shared" si="43"/>
        <v>21461.268</v>
      </c>
      <c r="AK48" s="30">
        <f t="shared" si="43"/>
        <v>4541.4639999999999</v>
      </c>
      <c r="AL48" s="31">
        <f t="shared" si="43"/>
        <v>6349.6759999999995</v>
      </c>
      <c r="AM48" s="31">
        <f t="shared" si="43"/>
        <v>6303</v>
      </c>
      <c r="AN48" s="30">
        <f t="shared" si="43"/>
        <v>7383.8600000000006</v>
      </c>
      <c r="AO48" s="29">
        <f t="shared" si="43"/>
        <v>24578</v>
      </c>
      <c r="AP48" s="30">
        <f t="shared" si="43"/>
        <v>5985</v>
      </c>
      <c r="AQ48" s="31">
        <f t="shared" si="43"/>
        <v>6036</v>
      </c>
      <c r="AR48" s="31">
        <f t="shared" si="43"/>
        <v>8771</v>
      </c>
      <c r="AS48" s="30">
        <f t="shared" si="43"/>
        <v>10744</v>
      </c>
      <c r="AT48" s="29">
        <f t="shared" si="43"/>
        <v>31536</v>
      </c>
      <c r="AU48" s="30">
        <f t="shared" si="43"/>
        <v>10389</v>
      </c>
      <c r="AV48" s="31">
        <f t="shared" si="43"/>
        <v>11958</v>
      </c>
      <c r="AW48" s="795">
        <f t="shared" si="43"/>
        <v>13757</v>
      </c>
      <c r="AX48" s="44">
        <f t="shared" si="43"/>
        <v>16899.050907895275</v>
      </c>
      <c r="AY48" s="45">
        <f t="shared" si="43"/>
        <v>53003.050907895282</v>
      </c>
      <c r="AZ48" s="44">
        <f t="shared" si="43"/>
        <v>21403.814099947969</v>
      </c>
      <c r="BA48" s="44">
        <f t="shared" si="43"/>
        <v>25225.705816595149</v>
      </c>
      <c r="BB48" s="44">
        <f t="shared" si="43"/>
        <v>30190.877792410611</v>
      </c>
      <c r="BC48" s="44">
        <f t="shared" si="43"/>
        <v>34099.283392148565</v>
      </c>
      <c r="BD48" s="45">
        <f t="shared" si="43"/>
        <v>110919.68110110231</v>
      </c>
      <c r="BE48" s="45">
        <f t="shared" si="43"/>
        <v>136754.23778768402</v>
      </c>
      <c r="BF48" s="45">
        <f t="shared" si="43"/>
        <v>167579.84368233572</v>
      </c>
      <c r="BG48" s="45">
        <f t="shared" si="43"/>
        <v>205461.48839313802</v>
      </c>
      <c r="BH48" s="368"/>
    </row>
    <row r="49" spans="1:60" s="548" customFormat="1" x14ac:dyDescent="0.25">
      <c r="A49" s="542" t="str">
        <f>A382</f>
        <v>Consensus Estimates - Net Revenue</v>
      </c>
      <c r="B49" s="543"/>
      <c r="C49" s="544"/>
      <c r="D49" s="544"/>
      <c r="E49" s="544"/>
      <c r="F49" s="544"/>
      <c r="G49" s="545"/>
      <c r="H49" s="545"/>
      <c r="I49" s="545"/>
      <c r="J49" s="545"/>
      <c r="K49" s="544"/>
      <c r="L49" s="545"/>
      <c r="M49" s="545"/>
      <c r="N49" s="545"/>
      <c r="O49" s="545"/>
      <c r="P49" s="544"/>
      <c r="Q49" s="545"/>
      <c r="R49" s="545"/>
      <c r="S49" s="545"/>
      <c r="T49" s="545"/>
      <c r="U49" s="544"/>
      <c r="V49" s="545"/>
      <c r="W49" s="546"/>
      <c r="X49" s="546"/>
      <c r="Y49" s="545"/>
      <c r="Z49" s="544"/>
      <c r="AA49" s="545"/>
      <c r="AB49" s="546"/>
      <c r="AC49" s="546"/>
      <c r="AD49" s="545"/>
      <c r="AE49" s="544"/>
      <c r="AF49" s="545"/>
      <c r="AG49" s="546"/>
      <c r="AH49" s="546"/>
      <c r="AI49" s="545"/>
      <c r="AJ49" s="544"/>
      <c r="AK49" s="545"/>
      <c r="AL49" s="546"/>
      <c r="AM49" s="546"/>
      <c r="AN49" s="545"/>
      <c r="AO49" s="544"/>
      <c r="AP49" s="545"/>
      <c r="AQ49" s="546"/>
      <c r="AR49" s="546"/>
      <c r="AS49" s="545"/>
      <c r="AT49" s="544"/>
      <c r="AU49" s="545"/>
      <c r="AV49" s="546"/>
      <c r="AW49" s="801"/>
      <c r="AX49" s="545" t="str">
        <f ca="1">AX382</f>
        <v>N/A</v>
      </c>
      <c r="AY49" s="547" t="str">
        <f t="shared" ref="AY49:BG49" ca="1" si="44">AY382</f>
        <v>N/A</v>
      </c>
      <c r="AZ49" s="545" t="str">
        <f t="shared" ca="1" si="44"/>
        <v>N/A</v>
      </c>
      <c r="BA49" s="545" t="str">
        <f t="shared" ca="1" si="44"/>
        <v>N/A</v>
      </c>
      <c r="BB49" s="545" t="str">
        <f t="shared" ca="1" si="44"/>
        <v>N/A</v>
      </c>
      <c r="BC49" s="545" t="str">
        <f t="shared" ca="1" si="44"/>
        <v>N/A</v>
      </c>
      <c r="BD49" s="547" t="str">
        <f t="shared" ca="1" si="44"/>
        <v>N/A</v>
      </c>
      <c r="BE49" s="547" t="str">
        <f t="shared" ca="1" si="44"/>
        <v>N/A</v>
      </c>
      <c r="BF49" s="547" t="str">
        <f t="shared" ca="1" si="44"/>
        <v>N/A</v>
      </c>
      <c r="BG49" s="547" t="str">
        <f t="shared" ca="1" si="44"/>
        <v>N/A</v>
      </c>
      <c r="BH49" s="545"/>
    </row>
    <row r="50" spans="1:60" s="574" customFormat="1" x14ac:dyDescent="0.25">
      <c r="A50" s="904" t="s">
        <v>693</v>
      </c>
      <c r="B50" s="641"/>
      <c r="C50" s="191"/>
      <c r="D50" s="191"/>
      <c r="E50" s="191"/>
      <c r="F50" s="191"/>
      <c r="G50" s="1004"/>
      <c r="H50" s="572">
        <f>H48/G48-1</f>
        <v>-0.27884519537480068</v>
      </c>
      <c r="I50" s="572">
        <f>I48/H48-1</f>
        <v>6.4686440949896173E-2</v>
      </c>
      <c r="J50" s="572">
        <f>J48/I48-1</f>
        <v>0.42627728088355998</v>
      </c>
      <c r="K50" s="191"/>
      <c r="L50" s="572">
        <f>L48/J48-1</f>
        <v>8.6522035242735384E-3</v>
      </c>
      <c r="M50" s="572">
        <f>M48/L48-1</f>
        <v>0.23980165726091052</v>
      </c>
      <c r="N50" s="572">
        <f>N48/M48-1</f>
        <v>0.10717502719831962</v>
      </c>
      <c r="O50" s="572">
        <f>O48/N48-1</f>
        <v>0.12309991500392115</v>
      </c>
      <c r="P50" s="191"/>
      <c r="Q50" s="572">
        <f>Q48/O48-1</f>
        <v>-1.7541218885268495E-2</v>
      </c>
      <c r="R50" s="572">
        <f>R48/Q48-1</f>
        <v>1.6061624888283443E-2</v>
      </c>
      <c r="S50" s="572">
        <f>S48/R48-1</f>
        <v>-1.9044457661763214E-2</v>
      </c>
      <c r="T50" s="572">
        <f>T48/S48-1</f>
        <v>0.29632179711760087</v>
      </c>
      <c r="U50" s="191"/>
      <c r="V50" s="572">
        <f>V48/T48-1</f>
        <v>-5.5445577166949422E-2</v>
      </c>
      <c r="W50" s="573">
        <f>W48/V48-1</f>
        <v>0.10720475516281791</v>
      </c>
      <c r="X50" s="573">
        <f>X48/W48-1</f>
        <v>0.80976790074463545</v>
      </c>
      <c r="Y50" s="572">
        <f>Y48/X48-1</f>
        <v>-6.0062581685979E-3</v>
      </c>
      <c r="Z50" s="191"/>
      <c r="AA50" s="572">
        <f>AA48/Y48-1</f>
        <v>0.18017745535274599</v>
      </c>
      <c r="AB50" s="573">
        <f>AB48/AA48-1</f>
        <v>3.4598537980246702E-2</v>
      </c>
      <c r="AC50" s="573">
        <f>AC48/AB48-1</f>
        <v>6.9945873126091573E-2</v>
      </c>
      <c r="AD50" s="572">
        <f>AD48/AC48-1</f>
        <v>0.10171090654761383</v>
      </c>
      <c r="AE50" s="191"/>
      <c r="AF50" s="572">
        <f>AF48/AD48-1</f>
        <v>3.6646251546035735E-2</v>
      </c>
      <c r="AG50" s="573">
        <f>AG48/AF48-1</f>
        <v>0.1741048260785254</v>
      </c>
      <c r="AH50" s="573">
        <f>AH48/AG48-1</f>
        <v>0.70515220135969203</v>
      </c>
      <c r="AI50" s="572">
        <f>AI48/AH48-1</f>
        <v>5.8827037578177199E-2</v>
      </c>
      <c r="AJ50" s="191"/>
      <c r="AK50" s="572">
        <f>AK48/AI48-1</f>
        <v>-0.37149960980493302</v>
      </c>
      <c r="AL50" s="573">
        <f>AL48/AK48-1</f>
        <v>0.39815618928169405</v>
      </c>
      <c r="AM50" s="573">
        <f>AM48/AL48-1</f>
        <v>-7.3509262519850793E-3</v>
      </c>
      <c r="AN50" s="572">
        <f>AN48/AM48-1</f>
        <v>0.17148342059336841</v>
      </c>
      <c r="AO50" s="191"/>
      <c r="AP50" s="572">
        <f>AP48/AN48-1</f>
        <v>-0.18944833731950506</v>
      </c>
      <c r="AQ50" s="573">
        <f>AQ48/AP48-1</f>
        <v>8.521303258145263E-3</v>
      </c>
      <c r="AR50" s="573">
        <f>AR48/AQ48-1</f>
        <v>0.4531146454605699</v>
      </c>
      <c r="AS50" s="572">
        <f>AS48/AR48-1</f>
        <v>0.2249458442594916</v>
      </c>
      <c r="AT50" s="191"/>
      <c r="AU50" s="572">
        <f>AU48/AS48-1</f>
        <v>-3.3041697691734928E-2</v>
      </c>
      <c r="AV50" s="573">
        <f>AV48/AU48-1</f>
        <v>0.15102512272596025</v>
      </c>
      <c r="AW50" s="844">
        <f>AW48/AV48-1</f>
        <v>0.15044321792941973</v>
      </c>
      <c r="AX50" s="1004">
        <f>AX48/AW48-1</f>
        <v>0.22839651871013111</v>
      </c>
      <c r="AY50" s="191"/>
      <c r="AZ50" s="1004">
        <f>AZ48/AX48-1</f>
        <v>0.26656900536041706</v>
      </c>
      <c r="BA50" s="1004">
        <f>BA48/AZ48-1</f>
        <v>0.17856124608447566</v>
      </c>
      <c r="BB50" s="1004">
        <f>BB48/BA48-1</f>
        <v>0.19682985332164771</v>
      </c>
      <c r="BC50" s="1004">
        <f>BC48/BB48-1</f>
        <v>0.12945650757860538</v>
      </c>
      <c r="BD50" s="191"/>
      <c r="BE50" s="191"/>
      <c r="BF50" s="191"/>
      <c r="BG50" s="191"/>
      <c r="BH50" s="572"/>
    </row>
    <row r="51" spans="1:60" s="574" customFormat="1" x14ac:dyDescent="0.25">
      <c r="A51" s="904" t="s">
        <v>694</v>
      </c>
      <c r="B51" s="641"/>
      <c r="C51" s="191"/>
      <c r="D51" s="571">
        <f>D48/C48-1</f>
        <v>4.2887898305387528E-2</v>
      </c>
      <c r="E51" s="571">
        <f>E48/D48-1</f>
        <v>0.74948605495785658</v>
      </c>
      <c r="F51" s="571">
        <f>F48/E48-1</f>
        <v>1.0233644402228728</v>
      </c>
      <c r="G51" s="1004"/>
      <c r="H51" s="1004"/>
      <c r="I51" s="1004"/>
      <c r="J51" s="1004"/>
      <c r="K51" s="571">
        <f t="shared" ref="K51:BD51" si="45">K48/F48-1</f>
        <v>3.8722728768608317</v>
      </c>
      <c r="L51" s="572">
        <f t="shared" si="45"/>
        <v>0.10457607085896559</v>
      </c>
      <c r="M51" s="572">
        <f t="shared" si="45"/>
        <v>0.89897541337664344</v>
      </c>
      <c r="N51" s="572">
        <f t="shared" si="45"/>
        <v>0.97475808283837106</v>
      </c>
      <c r="O51" s="572">
        <f t="shared" si="45"/>
        <v>0.5549926123868083</v>
      </c>
      <c r="P51" s="571">
        <f t="shared" si="45"/>
        <v>0.58845907814070664</v>
      </c>
      <c r="Q51" s="572">
        <f t="shared" si="45"/>
        <v>0.51461142033899399</v>
      </c>
      <c r="R51" s="572">
        <f t="shared" si="45"/>
        <v>0.24127801556900708</v>
      </c>
      <c r="S51" s="572">
        <f t="shared" si="45"/>
        <v>9.9770604505261762E-2</v>
      </c>
      <c r="T51" s="572">
        <f t="shared" si="45"/>
        <v>0.26939427864206889</v>
      </c>
      <c r="U51" s="571">
        <f t="shared" si="45"/>
        <v>0.26503272306147285</v>
      </c>
      <c r="V51" s="572">
        <f t="shared" si="45"/>
        <v>0.22041962803762161</v>
      </c>
      <c r="W51" s="573">
        <f t="shared" si="45"/>
        <v>0.32989415440806891</v>
      </c>
      <c r="X51" s="573">
        <f t="shared" si="45"/>
        <v>1.4535258206490465</v>
      </c>
      <c r="Y51" s="572">
        <f t="shared" si="45"/>
        <v>0.88131474497274342</v>
      </c>
      <c r="Z51" s="571">
        <f t="shared" si="45"/>
        <v>0.73012574069611524</v>
      </c>
      <c r="AA51" s="572">
        <f t="shared" si="45"/>
        <v>1.3506165391509337</v>
      </c>
      <c r="AB51" s="573">
        <f t="shared" si="45"/>
        <v>1.19647217320713</v>
      </c>
      <c r="AC51" s="573">
        <f t="shared" si="45"/>
        <v>0.29856780871862454</v>
      </c>
      <c r="AD51" s="572">
        <f t="shared" si="45"/>
        <v>0.43929107151220426</v>
      </c>
      <c r="AE51" s="571">
        <f t="shared" si="45"/>
        <v>0.67978989539054413</v>
      </c>
      <c r="AF51" s="572">
        <f t="shared" si="45"/>
        <v>0.26424690405634443</v>
      </c>
      <c r="AG51" s="573">
        <f t="shared" si="45"/>
        <v>0.43471920451885349</v>
      </c>
      <c r="AH51" s="573">
        <f t="shared" si="45"/>
        <v>1.2864844581068291</v>
      </c>
      <c r="AI51" s="572">
        <f t="shared" si="45"/>
        <v>1.197483523905885</v>
      </c>
      <c r="AJ51" s="571">
        <f t="shared" si="45"/>
        <v>0.82513159773516764</v>
      </c>
      <c r="AK51" s="572">
        <f t="shared" si="45"/>
        <v>0.33229561208782932</v>
      </c>
      <c r="AL51" s="573">
        <f t="shared" si="45"/>
        <v>0.5865341105998132</v>
      </c>
      <c r="AM51" s="573">
        <f t="shared" si="45"/>
        <v>-7.640408046816638E-2</v>
      </c>
      <c r="AN51" s="572">
        <f t="shared" si="45"/>
        <v>2.1864070957239301E-2</v>
      </c>
      <c r="AO51" s="571">
        <f t="shared" si="45"/>
        <v>0.14522590184326489</v>
      </c>
      <c r="AP51" s="572">
        <f t="shared" si="45"/>
        <v>0.31785697299373061</v>
      </c>
      <c r="AQ51" s="573">
        <f t="shared" si="45"/>
        <v>-4.9400315858635913E-2</v>
      </c>
      <c r="AR51" s="573">
        <f t="shared" si="45"/>
        <v>0.39155957480564818</v>
      </c>
      <c r="AS51" s="572">
        <f t="shared" si="45"/>
        <v>0.45506550774256271</v>
      </c>
      <c r="AT51" s="571">
        <f t="shared" si="45"/>
        <v>0.28309870615998056</v>
      </c>
      <c r="AU51" s="572">
        <f t="shared" si="45"/>
        <v>0.73583959899749374</v>
      </c>
      <c r="AV51" s="573">
        <f t="shared" si="45"/>
        <v>0.98111332007952279</v>
      </c>
      <c r="AW51" s="844">
        <f t="shared" si="45"/>
        <v>0.56846425721126437</v>
      </c>
      <c r="AX51" s="1004">
        <f t="shared" si="45"/>
        <v>0.57288262359412467</v>
      </c>
      <c r="AY51" s="191">
        <f t="shared" si="45"/>
        <v>0.68071571879424408</v>
      </c>
      <c r="AZ51" s="1004">
        <f t="shared" si="45"/>
        <v>1.0602381461110761</v>
      </c>
      <c r="BA51" s="1004">
        <f t="shared" si="45"/>
        <v>1.1095254906000291</v>
      </c>
      <c r="BB51" s="1004">
        <f t="shared" si="45"/>
        <v>1.1945829608497935</v>
      </c>
      <c r="BC51" s="1004">
        <f t="shared" si="45"/>
        <v>1.0178223959439818</v>
      </c>
      <c r="BD51" s="191">
        <f t="shared" si="45"/>
        <v>1.0927037066951146</v>
      </c>
      <c r="BE51" s="191">
        <f>BE48/BD48-1</f>
        <v>0.23291228779348661</v>
      </c>
      <c r="BF51" s="191">
        <f>BF48/BE48-1</f>
        <v>0.22540877996416886</v>
      </c>
      <c r="BG51" s="191">
        <f>BG48/BF48-1</f>
        <v>0.22605131905129783</v>
      </c>
      <c r="BH51" s="572"/>
    </row>
    <row r="52" spans="1:60" s="116" customFormat="1" x14ac:dyDescent="0.25">
      <c r="A52" s="530"/>
      <c r="B52" s="637"/>
      <c r="C52" s="438"/>
      <c r="D52" s="438"/>
      <c r="E52" s="438"/>
      <c r="F52" s="438"/>
      <c r="G52" s="437"/>
      <c r="H52" s="437"/>
      <c r="I52" s="437"/>
      <c r="J52" s="437"/>
      <c r="K52" s="438"/>
      <c r="L52" s="437"/>
      <c r="M52" s="437"/>
      <c r="N52" s="437"/>
      <c r="O52" s="437"/>
      <c r="P52" s="438"/>
      <c r="Q52" s="437"/>
      <c r="R52" s="437"/>
      <c r="S52" s="437"/>
      <c r="T52" s="437"/>
      <c r="U52" s="438"/>
      <c r="V52" s="437"/>
      <c r="W52" s="437"/>
      <c r="X52" s="437"/>
      <c r="Y52" s="437"/>
      <c r="Z52" s="438"/>
      <c r="AA52" s="437"/>
      <c r="AB52" s="437"/>
      <c r="AC52" s="437"/>
      <c r="AD52" s="437"/>
      <c r="AE52" s="438"/>
      <c r="AF52" s="437"/>
      <c r="AG52" s="437"/>
      <c r="AH52" s="437"/>
      <c r="AI52" s="437"/>
      <c r="AJ52" s="438"/>
      <c r="AK52" s="437"/>
      <c r="AL52" s="437"/>
      <c r="AM52" s="437"/>
      <c r="AN52" s="437"/>
      <c r="AO52" s="438"/>
      <c r="AP52" s="437"/>
      <c r="AQ52" s="437"/>
      <c r="AR52" s="437"/>
      <c r="AS52" s="437"/>
      <c r="AT52" s="438"/>
      <c r="AU52" s="437"/>
      <c r="AV52" s="437"/>
      <c r="AW52" s="725"/>
      <c r="AX52" s="437"/>
      <c r="AY52" s="438"/>
      <c r="AZ52" s="437"/>
      <c r="BA52" s="437"/>
      <c r="BB52" s="437"/>
      <c r="BC52" s="437"/>
      <c r="BD52" s="438"/>
      <c r="BE52" s="438"/>
      <c r="BF52" s="438"/>
      <c r="BG52" s="438"/>
      <c r="BH52" s="368"/>
    </row>
    <row r="53" spans="1:60" s="112" customFormat="1" x14ac:dyDescent="0.25">
      <c r="A53" s="1020" t="s">
        <v>522</v>
      </c>
      <c r="B53" s="1020"/>
      <c r="C53" s="1043"/>
      <c r="D53" s="1043"/>
      <c r="E53" s="1043"/>
      <c r="F53" s="1043"/>
      <c r="G53" s="1043"/>
      <c r="H53" s="1043"/>
      <c r="I53" s="1043"/>
      <c r="J53" s="1043"/>
      <c r="K53" s="1043"/>
      <c r="L53" s="1043"/>
      <c r="M53" s="1043"/>
      <c r="N53" s="1043"/>
      <c r="O53" s="1043"/>
      <c r="P53" s="1043"/>
      <c r="Q53" s="1043"/>
      <c r="R53" s="1043"/>
      <c r="S53" s="1043"/>
      <c r="T53" s="1043"/>
      <c r="U53" s="1043"/>
      <c r="V53" s="1043"/>
      <c r="W53" s="1043"/>
      <c r="X53" s="1043"/>
      <c r="Y53" s="1043"/>
      <c r="Z53" s="1043"/>
      <c r="AA53" s="1043"/>
      <c r="AB53" s="1043"/>
      <c r="AC53" s="1043"/>
      <c r="AD53" s="1043"/>
      <c r="AE53" s="1043"/>
      <c r="AF53" s="1043"/>
      <c r="AG53" s="1043"/>
      <c r="AH53" s="1043"/>
      <c r="AI53" s="1043"/>
      <c r="AJ53" s="1043"/>
      <c r="AK53" s="1043"/>
      <c r="AL53" s="1043"/>
      <c r="AM53" s="1043"/>
      <c r="AN53" s="1043"/>
      <c r="AO53" s="1043"/>
      <c r="AP53" s="1043"/>
      <c r="AQ53" s="1043"/>
      <c r="AR53" s="1043"/>
      <c r="AS53" s="1043"/>
      <c r="AT53" s="1043"/>
      <c r="AU53" s="1043"/>
      <c r="AV53" s="1043"/>
      <c r="AW53" s="1044"/>
      <c r="AX53" s="1043"/>
      <c r="AY53" s="1043"/>
      <c r="AZ53" s="1043"/>
      <c r="BA53" s="1043"/>
      <c r="BB53" s="1043"/>
      <c r="BC53" s="1043"/>
      <c r="BD53" s="1043"/>
      <c r="BE53" s="1043"/>
      <c r="BF53" s="1043"/>
      <c r="BG53" s="1043"/>
      <c r="BH53" s="1034"/>
    </row>
    <row r="54" spans="1:60" s="116" customFormat="1" hidden="1" outlineLevel="1" x14ac:dyDescent="0.25">
      <c r="A54" s="949" t="s">
        <v>519</v>
      </c>
      <c r="B54" s="637"/>
      <c r="C54" s="438"/>
      <c r="D54" s="438"/>
      <c r="E54" s="438"/>
      <c r="F54" s="33">
        <v>20000</v>
      </c>
      <c r="G54" s="368">
        <f>400*G3/7</f>
        <v>5142.8571428571431</v>
      </c>
      <c r="H54" s="368">
        <f>500*H3/7</f>
        <v>6500</v>
      </c>
      <c r="I54" s="368">
        <f>550*I3/7</f>
        <v>7228.5714285714284</v>
      </c>
      <c r="J54" s="368">
        <v>6587</v>
      </c>
      <c r="K54" s="33">
        <f>SUM(G54,H54,I54,J54)</f>
        <v>25458.428571428572</v>
      </c>
      <c r="L54" s="368">
        <v>7535</v>
      </c>
      <c r="M54" s="368">
        <v>8763</v>
      </c>
      <c r="N54" s="368">
        <f>P54-O54-M54-L54</f>
        <v>7075</v>
      </c>
      <c r="O54" s="368">
        <v>11627</v>
      </c>
      <c r="P54" s="33">
        <v>35000</v>
      </c>
      <c r="Q54" s="368">
        <v>11160</v>
      </c>
      <c r="R54" s="368">
        <v>12807</v>
      </c>
      <c r="S54" s="368">
        <v>13091</v>
      </c>
      <c r="T54" s="368">
        <v>14037</v>
      </c>
      <c r="U54" s="33">
        <f>SUM(Q54,R54,S54,T54)</f>
        <v>51095</v>
      </c>
      <c r="V54" s="368">
        <f>12851+2659</f>
        <v>15510</v>
      </c>
      <c r="W54" s="34">
        <v>18345</v>
      </c>
      <c r="X54" s="34">
        <v>25185</v>
      </c>
      <c r="Y54" s="368">
        <v>24882</v>
      </c>
      <c r="Z54" s="33">
        <f>SUM(V54,W54,X54,Y54)</f>
        <v>83922</v>
      </c>
      <c r="AA54" s="368">
        <v>25418</v>
      </c>
      <c r="AB54" s="34">
        <v>25708</v>
      </c>
      <c r="AC54" s="34">
        <v>25336</v>
      </c>
      <c r="AD54" s="368">
        <v>24565</v>
      </c>
      <c r="AE54" s="33">
        <f>SUM(AA54,AB54,AC54,AD54)</f>
        <v>101027</v>
      </c>
      <c r="AF54" s="368">
        <v>24728</v>
      </c>
      <c r="AG54" s="34">
        <v>24761</v>
      </c>
      <c r="AH54" s="34">
        <v>26903</v>
      </c>
      <c r="AI54" s="368">
        <v>25161</v>
      </c>
      <c r="AJ54" s="33">
        <f>SUM(AF54,AG54,AH54,AI54)</f>
        <v>101553</v>
      </c>
      <c r="AK54" s="368">
        <v>14163</v>
      </c>
      <c r="AL54" s="34">
        <v>14517</v>
      </c>
      <c r="AM54" s="34">
        <v>16318</v>
      </c>
      <c r="AN54" s="368">
        <v>17933</v>
      </c>
      <c r="AO54" s="33">
        <f>SUM(AK54,AL54,AM54,AN54)</f>
        <v>62931</v>
      </c>
      <c r="AP54" s="368">
        <v>15390</v>
      </c>
      <c r="AQ54" s="34">
        <v>6326</v>
      </c>
      <c r="AR54" s="34">
        <v>16992</v>
      </c>
      <c r="AS54" s="368">
        <v>16097</v>
      </c>
      <c r="AT54" s="33">
        <f>SUM(AP54,AQ54,AR54,AS54)</f>
        <v>54805</v>
      </c>
      <c r="AU54" s="368">
        <v>0</v>
      </c>
      <c r="AV54" s="34">
        <v>2340</v>
      </c>
      <c r="AW54" s="793">
        <v>8941</v>
      </c>
      <c r="AX54" s="1003">
        <v>13109</v>
      </c>
      <c r="AY54" s="438">
        <f>SUM(AU54,AV54,AW54,AX54)</f>
        <v>24390</v>
      </c>
      <c r="AZ54" s="437">
        <f>AZ90/AZ67</f>
        <v>12309.523809523811</v>
      </c>
      <c r="BA54" s="437">
        <f>BA90/BA67</f>
        <v>14863.750000000002</v>
      </c>
      <c r="BB54" s="437">
        <f>BB90/BB67</f>
        <v>17093.3125</v>
      </c>
      <c r="BC54" s="437">
        <f>BC90/BC67</f>
        <v>19657.309374999997</v>
      </c>
      <c r="BD54" s="438">
        <f>SUM(AZ54,BA54,BB54,BC54)</f>
        <v>63923.895684523814</v>
      </c>
      <c r="BE54" s="438">
        <f>BE90/BE67</f>
        <v>74729.799013157899</v>
      </c>
      <c r="BF54" s="438">
        <f>BF90/BF67</f>
        <v>82202.778914473703</v>
      </c>
      <c r="BG54" s="438">
        <f>BG90/BG67</f>
        <v>90423.056805921064</v>
      </c>
      <c r="BH54" s="368"/>
    </row>
    <row r="55" spans="1:60" s="356" customFormat="1" hidden="1" outlineLevel="1" x14ac:dyDescent="0.25">
      <c r="A55" s="982" t="s">
        <v>790</v>
      </c>
      <c r="B55" s="903"/>
      <c r="C55" s="191"/>
      <c r="D55" s="191"/>
      <c r="E55" s="191"/>
      <c r="F55" s="191"/>
      <c r="G55" s="1004"/>
      <c r="H55" s="572">
        <f>H54/G54-1</f>
        <v>0.26388888888888884</v>
      </c>
      <c r="I55" s="572">
        <f>I54/H54-1</f>
        <v>0.11208791208791213</v>
      </c>
      <c r="J55" s="572">
        <f>J54/I54-1</f>
        <v>-8.8754940711462393E-2</v>
      </c>
      <c r="K55" s="191"/>
      <c r="L55" s="572">
        <f>L54/J54-1</f>
        <v>0.14391984211325348</v>
      </c>
      <c r="M55" s="572">
        <f>M54/L54-1</f>
        <v>0.16297279362972783</v>
      </c>
      <c r="N55" s="572">
        <f>N54/M54-1</f>
        <v>-0.19262809540111836</v>
      </c>
      <c r="O55" s="572">
        <f>O54/N54-1</f>
        <v>0.64339222614840996</v>
      </c>
      <c r="P55" s="191"/>
      <c r="Q55" s="572">
        <f>Q54/O54-1</f>
        <v>-4.0165132880364718E-2</v>
      </c>
      <c r="R55" s="572">
        <f>R54/Q54-1</f>
        <v>0.14758064516129021</v>
      </c>
      <c r="S55" s="572">
        <f>S54/R54-1</f>
        <v>2.2175372842976548E-2</v>
      </c>
      <c r="T55" s="572">
        <f>T54/S54-1</f>
        <v>7.2263387059812167E-2</v>
      </c>
      <c r="U55" s="191"/>
      <c r="V55" s="572">
        <f>V54/T54-1</f>
        <v>0.10493695234024369</v>
      </c>
      <c r="W55" s="573">
        <f>W54/V54-1</f>
        <v>0.18278529980657643</v>
      </c>
      <c r="X55" s="573">
        <f>X54/W54-1</f>
        <v>0.37285363859362231</v>
      </c>
      <c r="Y55" s="572">
        <f>Y54/X54-1</f>
        <v>-1.2030970815961828E-2</v>
      </c>
      <c r="Z55" s="191"/>
      <c r="AA55" s="572">
        <f>AA54/Y54-1</f>
        <v>2.1541676714090574E-2</v>
      </c>
      <c r="AB55" s="573">
        <f>AB54/AA54-1</f>
        <v>1.1409237548194229E-2</v>
      </c>
      <c r="AC55" s="573">
        <f>AC54/AB54-1</f>
        <v>-1.4470203827602335E-2</v>
      </c>
      <c r="AD55" s="572">
        <f>AD54/AC54-1</f>
        <v>-3.043100726239345E-2</v>
      </c>
      <c r="AE55" s="191"/>
      <c r="AF55" s="572">
        <f>AF54/AD54-1</f>
        <v>6.6354569509463612E-3</v>
      </c>
      <c r="AG55" s="573">
        <f>AG54/AF54-1</f>
        <v>1.3345195729537185E-3</v>
      </c>
      <c r="AH55" s="573">
        <f>AH54/AG54-1</f>
        <v>8.65070069867937E-2</v>
      </c>
      <c r="AI55" s="572">
        <f>AI54/AH54-1</f>
        <v>-6.4751142995205013E-2</v>
      </c>
      <c r="AJ55" s="191"/>
      <c r="AK55" s="572">
        <f>AK54/AI54-1</f>
        <v>-0.43710504351973289</v>
      </c>
      <c r="AL55" s="573">
        <f>AL54/AK54-1</f>
        <v>2.4994704511756005E-2</v>
      </c>
      <c r="AM55" s="573">
        <f>AM54/AL54-1</f>
        <v>0.12406144520217666</v>
      </c>
      <c r="AN55" s="572">
        <f>AN54/AM54-1</f>
        <v>9.8970462066429787E-2</v>
      </c>
      <c r="AO55" s="191"/>
      <c r="AP55" s="572">
        <f>AP54/AN54-1</f>
        <v>-0.14180560976969836</v>
      </c>
      <c r="AQ55" s="573">
        <f>AQ54/AP54-1</f>
        <v>-0.58895386614684853</v>
      </c>
      <c r="AR55" s="573">
        <f>AR54/AQ54-1</f>
        <v>1.6860575403098323</v>
      </c>
      <c r="AS55" s="572">
        <f>AS54/AR54-1</f>
        <v>-5.2671845574387977E-2</v>
      </c>
      <c r="AT55" s="191"/>
      <c r="AU55" s="572">
        <f>AU54/AS54-1</f>
        <v>-1</v>
      </c>
      <c r="AV55" s="573" t="str">
        <f>IFERROR(AV54/AU54-1,"n/a")</f>
        <v>n/a</v>
      </c>
      <c r="AW55" s="844">
        <f>AW54/AV54-1</f>
        <v>2.8209401709401711</v>
      </c>
      <c r="AX55" s="1004">
        <f>AX54/AW54-1</f>
        <v>0.46616709540319867</v>
      </c>
      <c r="AY55" s="191"/>
      <c r="AZ55" s="1004">
        <f>AZ54/AX54-1</f>
        <v>-6.0986817489983136E-2</v>
      </c>
      <c r="BA55" s="1004">
        <f>BA54/AZ54-1</f>
        <v>0.20750000000000002</v>
      </c>
      <c r="BB55" s="1004">
        <f>BB54/BA54-1</f>
        <v>0.14999999999999991</v>
      </c>
      <c r="BC55" s="1004">
        <f>BC54/BB54-1</f>
        <v>0.14999999999999991</v>
      </c>
      <c r="BD55" s="191"/>
      <c r="BE55" s="191"/>
      <c r="BF55" s="191"/>
      <c r="BG55" s="191"/>
      <c r="BH55" s="361"/>
    </row>
    <row r="56" spans="1:60" s="574" customFormat="1" hidden="1" outlineLevel="1" x14ac:dyDescent="0.25">
      <c r="A56" s="982" t="s">
        <v>791</v>
      </c>
      <c r="B56" s="641"/>
      <c r="C56" s="191"/>
      <c r="D56" s="191"/>
      <c r="E56" s="191"/>
      <c r="F56" s="191"/>
      <c r="G56" s="1004"/>
      <c r="H56" s="1004"/>
      <c r="I56" s="1004"/>
      <c r="J56" s="1004"/>
      <c r="K56" s="571">
        <f t="shared" ref="K56:AY56" si="46">K54/F54-1</f>
        <v>0.27292142857142854</v>
      </c>
      <c r="L56" s="572">
        <f t="shared" si="46"/>
        <v>0.46513888888888877</v>
      </c>
      <c r="M56" s="572">
        <f t="shared" si="46"/>
        <v>0.34815384615384626</v>
      </c>
      <c r="N56" s="572">
        <f t="shared" si="46"/>
        <v>-2.1245059288537482E-2</v>
      </c>
      <c r="O56" s="572">
        <f t="shared" si="46"/>
        <v>0.76514346439957492</v>
      </c>
      <c r="P56" s="571">
        <f t="shared" si="46"/>
        <v>0.37479027434080203</v>
      </c>
      <c r="Q56" s="572">
        <f t="shared" si="46"/>
        <v>0.48108825481088258</v>
      </c>
      <c r="R56" s="572">
        <f t="shared" si="46"/>
        <v>0.46148579253680255</v>
      </c>
      <c r="S56" s="572">
        <f t="shared" si="46"/>
        <v>0.85031802120141342</v>
      </c>
      <c r="T56" s="572">
        <f t="shared" si="46"/>
        <v>0.20727616754106815</v>
      </c>
      <c r="U56" s="571">
        <f t="shared" si="46"/>
        <v>0.45985714285714296</v>
      </c>
      <c r="V56" s="572">
        <f t="shared" si="46"/>
        <v>0.38978494623655924</v>
      </c>
      <c r="W56" s="573">
        <f t="shared" si="46"/>
        <v>0.4324197704380417</v>
      </c>
      <c r="X56" s="573">
        <f t="shared" si="46"/>
        <v>0.92384080666106483</v>
      </c>
      <c r="Y56" s="572">
        <f t="shared" si="46"/>
        <v>0.77260098311605052</v>
      </c>
      <c r="Z56" s="571">
        <f t="shared" si="46"/>
        <v>0.64246990899305212</v>
      </c>
      <c r="AA56" s="572">
        <f t="shared" si="46"/>
        <v>0.63881366860090272</v>
      </c>
      <c r="AB56" s="573">
        <f t="shared" si="46"/>
        <v>0.40136276914690661</v>
      </c>
      <c r="AC56" s="573">
        <f t="shared" si="46"/>
        <v>5.9956323208258944E-3</v>
      </c>
      <c r="AD56" s="572">
        <f t="shared" si="46"/>
        <v>-1.2740133429788636E-2</v>
      </c>
      <c r="AE56" s="571">
        <f t="shared" si="46"/>
        <v>0.20382021400824568</v>
      </c>
      <c r="AF56" s="572">
        <f t="shared" si="46"/>
        <v>-2.7146116925013786E-2</v>
      </c>
      <c r="AG56" s="573">
        <f t="shared" si="46"/>
        <v>-3.6836782324568218E-2</v>
      </c>
      <c r="AH56" s="573">
        <f t="shared" si="46"/>
        <v>6.1848752762867054E-2</v>
      </c>
      <c r="AI56" s="572">
        <f t="shared" si="46"/>
        <v>2.4262161612049749E-2</v>
      </c>
      <c r="AJ56" s="571">
        <f t="shared" si="46"/>
        <v>5.206528947707012E-3</v>
      </c>
      <c r="AK56" s="572">
        <f t="shared" si="46"/>
        <v>-0.42724846328049171</v>
      </c>
      <c r="AL56" s="573">
        <f t="shared" si="46"/>
        <v>-0.4137151165138726</v>
      </c>
      <c r="AM56" s="573">
        <f t="shared" si="46"/>
        <v>-0.39345054454893502</v>
      </c>
      <c r="AN56" s="572">
        <f t="shared" si="46"/>
        <v>-0.28726998132029724</v>
      </c>
      <c r="AO56" s="571">
        <f t="shared" si="46"/>
        <v>-0.38031372780715489</v>
      </c>
      <c r="AP56" s="572">
        <f t="shared" si="46"/>
        <v>8.6634187672103291E-2</v>
      </c>
      <c r="AQ56" s="573">
        <f t="shared" si="46"/>
        <v>-0.5642350347868017</v>
      </c>
      <c r="AR56" s="573">
        <f t="shared" si="46"/>
        <v>4.1304081382522284E-2</v>
      </c>
      <c r="AS56" s="572">
        <f t="shared" si="46"/>
        <v>-0.10238108515028166</v>
      </c>
      <c r="AT56" s="571">
        <f t="shared" si="46"/>
        <v>-0.12912555020578098</v>
      </c>
      <c r="AU56" s="572">
        <f t="shared" si="46"/>
        <v>-1</v>
      </c>
      <c r="AV56" s="573">
        <f t="shared" si="46"/>
        <v>-0.63009800822004425</v>
      </c>
      <c r="AW56" s="844">
        <f t="shared" si="46"/>
        <v>-0.47381120527306964</v>
      </c>
      <c r="AX56" s="1004">
        <f t="shared" si="46"/>
        <v>-0.18562465055600419</v>
      </c>
      <c r="AY56" s="191">
        <f t="shared" si="46"/>
        <v>-0.55496761244412007</v>
      </c>
      <c r="AZ56" s="1004" t="str">
        <f>IFERROR(AZ54/AU54-1,"n/a")</f>
        <v>n/a</v>
      </c>
      <c r="BA56" s="1004">
        <f>BA54/AV54-1</f>
        <v>5.3520299145299157</v>
      </c>
      <c r="BB56" s="1004">
        <f>BB54/AW54-1</f>
        <v>0.91178978861424897</v>
      </c>
      <c r="BC56" s="1004">
        <f>BC54/AX54-1</f>
        <v>0.49952775764741753</v>
      </c>
      <c r="BD56" s="191">
        <f>BD54/AY54-1</f>
        <v>1.6209059321247974</v>
      </c>
      <c r="BE56" s="191">
        <f>BE54/BD54-1</f>
        <v>0.16904325390247199</v>
      </c>
      <c r="BF56" s="191">
        <f>BF54/BE54-1</f>
        <v>0.10000000000000009</v>
      </c>
      <c r="BG56" s="191">
        <f>BG54/BF54-1</f>
        <v>9.9999999999999867E-2</v>
      </c>
      <c r="BH56" s="572"/>
    </row>
    <row r="57" spans="1:60" s="116" customFormat="1" hidden="1" outlineLevel="1" x14ac:dyDescent="0.25">
      <c r="A57" s="949" t="s">
        <v>520</v>
      </c>
      <c r="B57" s="637"/>
      <c r="C57" s="438"/>
      <c r="D57" s="438"/>
      <c r="E57" s="438"/>
      <c r="F57" s="438"/>
      <c r="G57" s="437"/>
      <c r="H57" s="437"/>
      <c r="I57" s="437"/>
      <c r="J57" s="437"/>
      <c r="K57" s="438"/>
      <c r="L57" s="437"/>
      <c r="M57" s="437"/>
      <c r="N57" s="437"/>
      <c r="O57" s="437"/>
      <c r="P57" s="438"/>
      <c r="Q57" s="437"/>
      <c r="R57" s="437"/>
      <c r="S57" s="437"/>
      <c r="T57" s="437"/>
      <c r="U57" s="438"/>
      <c r="V57" s="437"/>
      <c r="W57" s="437"/>
      <c r="X57" s="437"/>
      <c r="Y57" s="437"/>
      <c r="Z57" s="438"/>
      <c r="AA57" s="437"/>
      <c r="AB57" s="437"/>
      <c r="AC57" s="437"/>
      <c r="AD57" s="437"/>
      <c r="AE57" s="438"/>
      <c r="AF57" s="368">
        <v>9766</v>
      </c>
      <c r="AG57" s="34">
        <v>28578</v>
      </c>
      <c r="AH57" s="34">
        <v>53239</v>
      </c>
      <c r="AI57" s="368">
        <v>61394</v>
      </c>
      <c r="AJ57" s="33">
        <f>SUM(AF57,AG57,AH57,AI57)</f>
        <v>152977</v>
      </c>
      <c r="AK57" s="368">
        <v>62975</v>
      </c>
      <c r="AL57" s="34">
        <v>72531</v>
      </c>
      <c r="AM57" s="34">
        <v>79837</v>
      </c>
      <c r="AN57" s="368">
        <v>86958</v>
      </c>
      <c r="AO57" s="33">
        <f>SUM(AK57,AL57,AM57,AN57)</f>
        <v>302301</v>
      </c>
      <c r="AP57" s="368">
        <v>87282</v>
      </c>
      <c r="AQ57" s="34">
        <v>75946</v>
      </c>
      <c r="AR57" s="34">
        <v>128044</v>
      </c>
      <c r="AS57" s="368">
        <v>163660</v>
      </c>
      <c r="AT57" s="33">
        <f>SUM(AP57,AQ57,AR57,AS57)</f>
        <v>454932</v>
      </c>
      <c r="AU57" s="368">
        <v>180338</v>
      </c>
      <c r="AV57" s="34">
        <v>204081</v>
      </c>
      <c r="AW57" s="793">
        <v>228882</v>
      </c>
      <c r="AX57" s="1003">
        <v>292731</v>
      </c>
      <c r="AY57" s="438">
        <f>SUM(AU57,AV57,AW57,AX57)</f>
        <v>906032</v>
      </c>
      <c r="AZ57" s="437">
        <f>AZ93/AZ68</f>
        <v>341377.5</v>
      </c>
      <c r="BA57" s="437">
        <f>BA93/BA68</f>
        <v>392584.12499999994</v>
      </c>
      <c r="BB57" s="437">
        <f>BB93/BB68</f>
        <v>451471.74374999991</v>
      </c>
      <c r="BC57" s="437">
        <f>BC93/BC68</f>
        <v>519192.50531249988</v>
      </c>
      <c r="BD57" s="438">
        <f>SUM(AZ57,BA57,BB57,BC57)</f>
        <v>1704625.8740624997</v>
      </c>
      <c r="BE57" s="438">
        <f>BE93/BE68</f>
        <v>1960319.7551718745</v>
      </c>
      <c r="BF57" s="438">
        <f>BF93/BF68</f>
        <v>2254367.7184476554</v>
      </c>
      <c r="BG57" s="438">
        <f>BG93/BG68</f>
        <v>2592522.8762148037</v>
      </c>
      <c r="BH57" s="368"/>
    </row>
    <row r="58" spans="1:60" s="356" customFormat="1" hidden="1" outlineLevel="1" x14ac:dyDescent="0.25">
      <c r="A58" s="982" t="s">
        <v>792</v>
      </c>
      <c r="B58" s="903"/>
      <c r="C58" s="191"/>
      <c r="D58" s="191"/>
      <c r="E58" s="191"/>
      <c r="F58" s="191"/>
      <c r="G58" s="1004"/>
      <c r="H58" s="1004"/>
      <c r="I58" s="1004"/>
      <c r="J58" s="1004"/>
      <c r="K58" s="191"/>
      <c r="L58" s="1004"/>
      <c r="M58" s="1004"/>
      <c r="N58" s="1004"/>
      <c r="O58" s="1004"/>
      <c r="P58" s="191"/>
      <c r="Q58" s="1004"/>
      <c r="R58" s="1004"/>
      <c r="S58" s="1004"/>
      <c r="T58" s="1004"/>
      <c r="U58" s="191"/>
      <c r="V58" s="1004"/>
      <c r="W58" s="1004"/>
      <c r="X58" s="1004"/>
      <c r="Y58" s="1004"/>
      <c r="Z58" s="191"/>
      <c r="AA58" s="1004"/>
      <c r="AB58" s="1004"/>
      <c r="AC58" s="1004"/>
      <c r="AD58" s="1004"/>
      <c r="AE58" s="191"/>
      <c r="AF58" s="1004"/>
      <c r="AG58" s="573">
        <f>AG57/AF57-1</f>
        <v>1.9262748310464879</v>
      </c>
      <c r="AH58" s="573">
        <f>AH57/AG57-1</f>
        <v>0.86293652459934211</v>
      </c>
      <c r="AI58" s="572">
        <f>AI57/AH57-1</f>
        <v>0.15317718214091181</v>
      </c>
      <c r="AJ58" s="191"/>
      <c r="AK58" s="572">
        <f>AK57/AI57-1</f>
        <v>2.5751702120728304E-2</v>
      </c>
      <c r="AL58" s="573">
        <f>AL57/AK57-1</f>
        <v>0.15174275506153245</v>
      </c>
      <c r="AM58" s="573">
        <f>AM57/AL57-1</f>
        <v>0.10072934331527206</v>
      </c>
      <c r="AN58" s="572">
        <f>AN57/AM57-1</f>
        <v>8.9194233250247335E-2</v>
      </c>
      <c r="AO58" s="191"/>
      <c r="AP58" s="572">
        <f>AP57/AN57-1</f>
        <v>3.7259366590767229E-3</v>
      </c>
      <c r="AQ58" s="573">
        <f>AQ57/AP57-1</f>
        <v>-0.12987786714328264</v>
      </c>
      <c r="AR58" s="573">
        <f>AR57/AQ57-1</f>
        <v>0.68598741210860359</v>
      </c>
      <c r="AS58" s="572">
        <f>AS57/AR57-1</f>
        <v>0.27815438443035201</v>
      </c>
      <c r="AT58" s="191"/>
      <c r="AU58" s="572">
        <f>AU57/AS57-1</f>
        <v>0.10190639129903456</v>
      </c>
      <c r="AV58" s="573">
        <f>IFERROR(AV57/AU57-1,"n/a")</f>
        <v>0.13165833046834274</v>
      </c>
      <c r="AW58" s="844">
        <f>AW57/AV57-1</f>
        <v>0.12152527672835789</v>
      </c>
      <c r="AX58" s="1004">
        <f>AX57/AW57-1</f>
        <v>0.27896033764122996</v>
      </c>
      <c r="AY58" s="191"/>
      <c r="AZ58" s="1004">
        <f>AZ57/AX57-1</f>
        <v>0.16618157967553837</v>
      </c>
      <c r="BA58" s="1004">
        <f>BA57/AZ57-1</f>
        <v>0.14999999999999991</v>
      </c>
      <c r="BB58" s="1004">
        <f>BB57/BA57-1</f>
        <v>0.14999999999999991</v>
      </c>
      <c r="BC58" s="1004">
        <f>BC57/BB57-1</f>
        <v>0.14999999999999991</v>
      </c>
      <c r="BD58" s="191"/>
      <c r="BE58" s="191"/>
      <c r="BF58" s="191"/>
      <c r="BG58" s="191"/>
      <c r="BH58" s="361"/>
    </row>
    <row r="59" spans="1:60" s="574" customFormat="1" hidden="1" outlineLevel="1" x14ac:dyDescent="0.25">
      <c r="A59" s="982" t="s">
        <v>793</v>
      </c>
      <c r="B59" s="641"/>
      <c r="C59" s="191"/>
      <c r="D59" s="191"/>
      <c r="E59" s="191"/>
      <c r="F59" s="191"/>
      <c r="G59" s="1004"/>
      <c r="H59" s="1004"/>
      <c r="I59" s="1004"/>
      <c r="J59" s="1004"/>
      <c r="K59" s="191"/>
      <c r="L59" s="1004"/>
      <c r="M59" s="1004"/>
      <c r="N59" s="1004"/>
      <c r="O59" s="1004"/>
      <c r="P59" s="191"/>
      <c r="Q59" s="1004"/>
      <c r="R59" s="1004"/>
      <c r="S59" s="1004"/>
      <c r="T59" s="1004"/>
      <c r="U59" s="191"/>
      <c r="V59" s="1004"/>
      <c r="W59" s="1004"/>
      <c r="X59" s="1004"/>
      <c r="Y59" s="1004"/>
      <c r="Z59" s="191"/>
      <c r="AA59" s="1004"/>
      <c r="AB59" s="1004"/>
      <c r="AC59" s="1004"/>
      <c r="AD59" s="1004"/>
      <c r="AE59" s="191"/>
      <c r="AF59" s="1004"/>
      <c r="AG59" s="1004"/>
      <c r="AH59" s="1004"/>
      <c r="AI59" s="1004"/>
      <c r="AJ59" s="191"/>
      <c r="AK59" s="572">
        <f t="shared" ref="AK59:AY59" si="47">AK57/AF57-1</f>
        <v>5.4483923817325417</v>
      </c>
      <c r="AL59" s="573">
        <f t="shared" si="47"/>
        <v>1.5380012597102666</v>
      </c>
      <c r="AM59" s="573">
        <f t="shared" si="47"/>
        <v>0.4995961607092545</v>
      </c>
      <c r="AN59" s="572">
        <f t="shared" si="47"/>
        <v>0.41639248134996909</v>
      </c>
      <c r="AO59" s="571">
        <f t="shared" si="47"/>
        <v>0.97612059329180201</v>
      </c>
      <c r="AP59" s="572">
        <f t="shared" si="47"/>
        <v>0.38597856292179444</v>
      </c>
      <c r="AQ59" s="573">
        <f t="shared" si="47"/>
        <v>4.7083316099323147E-2</v>
      </c>
      <c r="AR59" s="573">
        <f t="shared" si="47"/>
        <v>0.60381777872415054</v>
      </c>
      <c r="AS59" s="572">
        <f t="shared" si="47"/>
        <v>0.88205800501391485</v>
      </c>
      <c r="AT59" s="571">
        <f t="shared" si="47"/>
        <v>0.50489743666081166</v>
      </c>
      <c r="AU59" s="572">
        <f t="shared" si="47"/>
        <v>1.0661533878692055</v>
      </c>
      <c r="AV59" s="573">
        <f t="shared" si="47"/>
        <v>1.6871856318963476</v>
      </c>
      <c r="AW59" s="844">
        <f t="shared" si="47"/>
        <v>0.78752616288150956</v>
      </c>
      <c r="AX59" s="1004">
        <f t="shared" si="47"/>
        <v>0.78865330563363067</v>
      </c>
      <c r="AY59" s="191">
        <f t="shared" si="47"/>
        <v>0.99157676312064225</v>
      </c>
      <c r="AZ59" s="1004">
        <f>IFERROR(AZ57/AU57-1,"n/a")</f>
        <v>0.89298705763621644</v>
      </c>
      <c r="BA59" s="1004">
        <f>BA57/AV57-1</f>
        <v>0.92366817587134498</v>
      </c>
      <c r="BB59" s="1004">
        <f>BB57/AW57-1</f>
        <v>0.97250873266574001</v>
      </c>
      <c r="BC59" s="1004">
        <f>BC57/AX57-1</f>
        <v>0.77361640998903392</v>
      </c>
      <c r="BD59" s="191">
        <f>BD57/AY57-1</f>
        <v>0.88141906032292439</v>
      </c>
      <c r="BE59" s="191">
        <f>BE57/BD57-1</f>
        <v>0.14999999999999991</v>
      </c>
      <c r="BF59" s="191">
        <f>BF57/BE57-1</f>
        <v>0.14999999999999991</v>
      </c>
      <c r="BG59" s="191">
        <f>BG57/BF57-1</f>
        <v>0.14999999999999991</v>
      </c>
      <c r="BH59" s="572"/>
    </row>
    <row r="60" spans="1:60" s="116" customFormat="1" hidden="1" outlineLevel="1" x14ac:dyDescent="0.25">
      <c r="A60" s="949" t="s">
        <v>650</v>
      </c>
      <c r="B60" s="637"/>
      <c r="C60" s="438"/>
      <c r="D60" s="438"/>
      <c r="E60" s="438"/>
      <c r="F60" s="438"/>
      <c r="G60" s="437"/>
      <c r="H60" s="437"/>
      <c r="I60" s="437"/>
      <c r="J60" s="437"/>
      <c r="K60" s="438"/>
      <c r="L60" s="437"/>
      <c r="M60" s="437"/>
      <c r="N60" s="437"/>
      <c r="O60" s="437"/>
      <c r="P60" s="438"/>
      <c r="Q60" s="437"/>
      <c r="R60" s="437"/>
      <c r="S60" s="437"/>
      <c r="T60" s="437"/>
      <c r="U60" s="438"/>
      <c r="V60" s="437"/>
      <c r="W60" s="437"/>
      <c r="X60" s="437"/>
      <c r="Y60" s="437"/>
      <c r="Z60" s="438"/>
      <c r="AA60" s="437"/>
      <c r="AB60" s="437"/>
      <c r="AC60" s="437"/>
      <c r="AD60" s="437"/>
      <c r="AE60" s="438"/>
      <c r="AF60" s="437"/>
      <c r="AG60" s="437"/>
      <c r="AH60" s="437"/>
      <c r="AI60" s="437"/>
      <c r="AJ60" s="438"/>
      <c r="AK60" s="437"/>
      <c r="AL60" s="437"/>
      <c r="AM60" s="437"/>
      <c r="AN60" s="437"/>
      <c r="AO60" s="438"/>
      <c r="AP60" s="437"/>
      <c r="AQ60" s="437"/>
      <c r="AR60" s="437"/>
      <c r="AS60" s="437"/>
      <c r="AT60" s="438"/>
      <c r="AU60" s="437"/>
      <c r="AV60" s="437"/>
      <c r="AW60" s="725"/>
      <c r="AX60" s="437"/>
      <c r="AY60" s="438"/>
      <c r="AZ60" s="437"/>
      <c r="BA60" s="437"/>
      <c r="BB60" s="437"/>
      <c r="BC60" s="437"/>
      <c r="BD60" s="438"/>
      <c r="BE60" s="438">
        <f>BE96/BE69</f>
        <v>19047.619047619046</v>
      </c>
      <c r="BF60" s="438">
        <f>BF96/BF69</f>
        <v>22000</v>
      </c>
      <c r="BG60" s="438">
        <f>BG96/BG69</f>
        <v>25473.68421052632</v>
      </c>
      <c r="BH60" s="368"/>
    </row>
    <row r="61" spans="1:60" s="356" customFormat="1" hidden="1" outlineLevel="1" x14ac:dyDescent="0.25">
      <c r="A61" s="982" t="s">
        <v>794</v>
      </c>
      <c r="B61" s="903"/>
      <c r="C61" s="191"/>
      <c r="D61" s="191"/>
      <c r="E61" s="191"/>
      <c r="F61" s="191"/>
      <c r="G61" s="1004"/>
      <c r="H61" s="1004"/>
      <c r="I61" s="1004"/>
      <c r="J61" s="1004"/>
      <c r="K61" s="191"/>
      <c r="L61" s="1004"/>
      <c r="M61" s="1004"/>
      <c r="N61" s="1004"/>
      <c r="O61" s="1004"/>
      <c r="P61" s="191"/>
      <c r="Q61" s="1004"/>
      <c r="R61" s="1004"/>
      <c r="S61" s="1004"/>
      <c r="T61" s="1004"/>
      <c r="U61" s="191"/>
      <c r="V61" s="1004"/>
      <c r="W61" s="1004"/>
      <c r="X61" s="1004"/>
      <c r="Y61" s="1004"/>
      <c r="Z61" s="191"/>
      <c r="AA61" s="1004"/>
      <c r="AB61" s="1004"/>
      <c r="AC61" s="1004"/>
      <c r="AD61" s="1004"/>
      <c r="AE61" s="191"/>
      <c r="AF61" s="1004"/>
      <c r="AG61" s="1004"/>
      <c r="AH61" s="1004"/>
      <c r="AI61" s="1004"/>
      <c r="AJ61" s="191"/>
      <c r="AK61" s="1004"/>
      <c r="AL61" s="1004"/>
      <c r="AM61" s="1004"/>
      <c r="AN61" s="1004"/>
      <c r="AO61" s="191"/>
      <c r="AP61" s="1004"/>
      <c r="AQ61" s="1004"/>
      <c r="AR61" s="1004"/>
      <c r="AS61" s="1004"/>
      <c r="AT61" s="191"/>
      <c r="AU61" s="1004"/>
      <c r="AV61" s="1004"/>
      <c r="AW61" s="820"/>
      <c r="AX61" s="1004"/>
      <c r="AY61" s="191"/>
      <c r="AZ61" s="1004"/>
      <c r="BA61" s="1004"/>
      <c r="BB61" s="1004"/>
      <c r="BC61" s="1004"/>
      <c r="BD61" s="191"/>
      <c r="BE61" s="191"/>
      <c r="BF61" s="191"/>
      <c r="BG61" s="191"/>
      <c r="BH61" s="361"/>
    </row>
    <row r="62" spans="1:60" s="574" customFormat="1" hidden="1" outlineLevel="1" x14ac:dyDescent="0.25">
      <c r="A62" s="982" t="s">
        <v>795</v>
      </c>
      <c r="B62" s="641"/>
      <c r="C62" s="191"/>
      <c r="D62" s="191"/>
      <c r="E62" s="191"/>
      <c r="F62" s="191"/>
      <c r="G62" s="1004"/>
      <c r="H62" s="1004"/>
      <c r="I62" s="1004"/>
      <c r="J62" s="1004"/>
      <c r="K62" s="191"/>
      <c r="L62" s="1004"/>
      <c r="M62" s="1004"/>
      <c r="N62" s="1004"/>
      <c r="O62" s="1004"/>
      <c r="P62" s="191"/>
      <c r="Q62" s="1004"/>
      <c r="R62" s="1004"/>
      <c r="S62" s="1004"/>
      <c r="T62" s="1004"/>
      <c r="U62" s="191"/>
      <c r="V62" s="1004"/>
      <c r="W62" s="1004"/>
      <c r="X62" s="1004"/>
      <c r="Y62" s="1004"/>
      <c r="Z62" s="191"/>
      <c r="AA62" s="1004"/>
      <c r="AB62" s="1004"/>
      <c r="AC62" s="1004"/>
      <c r="AD62" s="1004"/>
      <c r="AE62" s="191"/>
      <c r="AF62" s="1004"/>
      <c r="AG62" s="1004"/>
      <c r="AH62" s="1004"/>
      <c r="AI62" s="1004"/>
      <c r="AJ62" s="191"/>
      <c r="AK62" s="1004"/>
      <c r="AL62" s="1004"/>
      <c r="AM62" s="1004"/>
      <c r="AN62" s="1004"/>
      <c r="AO62" s="191"/>
      <c r="AP62" s="1004"/>
      <c r="AQ62" s="1004"/>
      <c r="AR62" s="1004"/>
      <c r="AS62" s="1004"/>
      <c r="AT62" s="191"/>
      <c r="AU62" s="1004"/>
      <c r="AV62" s="1004"/>
      <c r="AW62" s="820"/>
      <c r="AX62" s="1004"/>
      <c r="AY62" s="191"/>
      <c r="AZ62" s="1004"/>
      <c r="BA62" s="1004"/>
      <c r="BB62" s="1004"/>
      <c r="BC62" s="1004"/>
      <c r="BD62" s="191"/>
      <c r="BE62" s="191"/>
      <c r="BF62" s="191">
        <f>BF60/BE60-1</f>
        <v>0.15500000000000003</v>
      </c>
      <c r="BG62" s="191">
        <f>BG60/BF60-1</f>
        <v>0.15789473684210553</v>
      </c>
      <c r="BH62" s="572"/>
    </row>
    <row r="63" spans="1:60" s="116" customFormat="1" hidden="1" outlineLevel="1" x14ac:dyDescent="0.25">
      <c r="A63" s="86" t="s">
        <v>521</v>
      </c>
      <c r="B63" s="636"/>
      <c r="C63" s="45"/>
      <c r="D63" s="45"/>
      <c r="E63" s="45"/>
      <c r="F63" s="29">
        <f t="shared" ref="F63:AK63" si="48">F54+F57+F60</f>
        <v>20000</v>
      </c>
      <c r="G63" s="30">
        <f t="shared" si="48"/>
        <v>5142.8571428571431</v>
      </c>
      <c r="H63" s="30">
        <f t="shared" si="48"/>
        <v>6500</v>
      </c>
      <c r="I63" s="30">
        <f t="shared" si="48"/>
        <v>7228.5714285714284</v>
      </c>
      <c r="J63" s="30">
        <f t="shared" si="48"/>
        <v>6587</v>
      </c>
      <c r="K63" s="29">
        <f t="shared" si="48"/>
        <v>25458.428571428572</v>
      </c>
      <c r="L63" s="30">
        <f t="shared" si="48"/>
        <v>7535</v>
      </c>
      <c r="M63" s="30">
        <f t="shared" si="48"/>
        <v>8763</v>
      </c>
      <c r="N63" s="44">
        <f t="shared" si="48"/>
        <v>7075</v>
      </c>
      <c r="O63" s="30">
        <f t="shared" si="48"/>
        <v>11627</v>
      </c>
      <c r="P63" s="29">
        <f t="shared" si="48"/>
        <v>35000</v>
      </c>
      <c r="Q63" s="30">
        <f t="shared" si="48"/>
        <v>11160</v>
      </c>
      <c r="R63" s="30">
        <f t="shared" si="48"/>
        <v>12807</v>
      </c>
      <c r="S63" s="30">
        <f t="shared" si="48"/>
        <v>13091</v>
      </c>
      <c r="T63" s="30">
        <f t="shared" si="48"/>
        <v>14037</v>
      </c>
      <c r="U63" s="29">
        <f t="shared" si="48"/>
        <v>51095</v>
      </c>
      <c r="V63" s="30">
        <f t="shared" si="48"/>
        <v>15510</v>
      </c>
      <c r="W63" s="31">
        <f t="shared" si="48"/>
        <v>18345</v>
      </c>
      <c r="X63" s="31">
        <f t="shared" si="48"/>
        <v>25185</v>
      </c>
      <c r="Y63" s="30">
        <f t="shared" si="48"/>
        <v>24882</v>
      </c>
      <c r="Z63" s="29">
        <f t="shared" si="48"/>
        <v>83922</v>
      </c>
      <c r="AA63" s="30">
        <f t="shared" si="48"/>
        <v>25418</v>
      </c>
      <c r="AB63" s="31">
        <f t="shared" si="48"/>
        <v>25708</v>
      </c>
      <c r="AC63" s="31">
        <f t="shared" si="48"/>
        <v>25336</v>
      </c>
      <c r="AD63" s="30">
        <f t="shared" si="48"/>
        <v>24565</v>
      </c>
      <c r="AE63" s="29">
        <f t="shared" si="48"/>
        <v>101027</v>
      </c>
      <c r="AF63" s="30">
        <f t="shared" si="48"/>
        <v>34494</v>
      </c>
      <c r="AG63" s="30">
        <f t="shared" si="48"/>
        <v>53339</v>
      </c>
      <c r="AH63" s="30">
        <f t="shared" si="48"/>
        <v>80142</v>
      </c>
      <c r="AI63" s="30">
        <f t="shared" si="48"/>
        <v>86555</v>
      </c>
      <c r="AJ63" s="29">
        <f t="shared" si="48"/>
        <v>254530</v>
      </c>
      <c r="AK63" s="30">
        <f t="shared" si="48"/>
        <v>77138</v>
      </c>
      <c r="AL63" s="31">
        <f t="shared" ref="AL63:BG63" si="49">AL54+AL57+AL60</f>
        <v>87048</v>
      </c>
      <c r="AM63" s="31">
        <f t="shared" si="49"/>
        <v>96155</v>
      </c>
      <c r="AN63" s="30">
        <f t="shared" si="49"/>
        <v>104891</v>
      </c>
      <c r="AO63" s="29">
        <f t="shared" si="49"/>
        <v>365232</v>
      </c>
      <c r="AP63" s="30">
        <f t="shared" si="49"/>
        <v>102672</v>
      </c>
      <c r="AQ63" s="31">
        <f t="shared" si="49"/>
        <v>82272</v>
      </c>
      <c r="AR63" s="31">
        <f t="shared" si="49"/>
        <v>145036</v>
      </c>
      <c r="AS63" s="30">
        <f t="shared" si="49"/>
        <v>179757</v>
      </c>
      <c r="AT63" s="29">
        <f t="shared" si="49"/>
        <v>509737</v>
      </c>
      <c r="AU63" s="30">
        <f t="shared" si="49"/>
        <v>180338</v>
      </c>
      <c r="AV63" s="31">
        <f t="shared" si="49"/>
        <v>206421</v>
      </c>
      <c r="AW63" s="795">
        <f t="shared" si="49"/>
        <v>237823</v>
      </c>
      <c r="AX63" s="44">
        <f t="shared" si="49"/>
        <v>305840</v>
      </c>
      <c r="AY63" s="45">
        <f t="shared" si="49"/>
        <v>930422</v>
      </c>
      <c r="AZ63" s="44">
        <f t="shared" si="49"/>
        <v>353687.02380952379</v>
      </c>
      <c r="BA63" s="44">
        <f t="shared" si="49"/>
        <v>407447.87499999994</v>
      </c>
      <c r="BB63" s="44">
        <f t="shared" si="49"/>
        <v>468565.05624999991</v>
      </c>
      <c r="BC63" s="44">
        <f t="shared" si="49"/>
        <v>538849.81468749989</v>
      </c>
      <c r="BD63" s="45">
        <f t="shared" si="49"/>
        <v>1768549.7697470235</v>
      </c>
      <c r="BE63" s="45">
        <f t="shared" si="49"/>
        <v>2054097.1732326513</v>
      </c>
      <c r="BF63" s="45">
        <f t="shared" si="49"/>
        <v>2358570.4973621289</v>
      </c>
      <c r="BG63" s="45">
        <f t="shared" si="49"/>
        <v>2708419.6172312512</v>
      </c>
      <c r="BH63" s="368"/>
    </row>
    <row r="64" spans="1:60" s="574" customFormat="1" hidden="1" outlineLevel="1" x14ac:dyDescent="0.25">
      <c r="A64" s="892" t="s">
        <v>711</v>
      </c>
      <c r="B64" s="641"/>
      <c r="C64" s="191"/>
      <c r="D64" s="191"/>
      <c r="E64" s="191"/>
      <c r="F64" s="191"/>
      <c r="G64" s="1004"/>
      <c r="H64" s="572">
        <f>H63/G63-1</f>
        <v>0.26388888888888884</v>
      </c>
      <c r="I64" s="572">
        <f>I63/H63-1</f>
        <v>0.11208791208791213</v>
      </c>
      <c r="J64" s="572">
        <f>J63/I63-1</f>
        <v>-8.8754940711462393E-2</v>
      </c>
      <c r="K64" s="191"/>
      <c r="L64" s="572">
        <f>L63/J63-1</f>
        <v>0.14391984211325348</v>
      </c>
      <c r="M64" s="572">
        <f>M63/L63-1</f>
        <v>0.16297279362972783</v>
      </c>
      <c r="N64" s="572">
        <f>N63/M63-1</f>
        <v>-0.19262809540111836</v>
      </c>
      <c r="O64" s="572">
        <f>O63/N63-1</f>
        <v>0.64339222614840996</v>
      </c>
      <c r="P64" s="191"/>
      <c r="Q64" s="572">
        <f>Q63/O63-1</f>
        <v>-4.0165132880364718E-2</v>
      </c>
      <c r="R64" s="572">
        <f>R63/Q63-1</f>
        <v>0.14758064516129021</v>
      </c>
      <c r="S64" s="572">
        <f>S63/R63-1</f>
        <v>2.2175372842976548E-2</v>
      </c>
      <c r="T64" s="572">
        <f>T63/S63-1</f>
        <v>7.2263387059812167E-2</v>
      </c>
      <c r="U64" s="191"/>
      <c r="V64" s="572">
        <f>V63/T63-1</f>
        <v>0.10493695234024369</v>
      </c>
      <c r="W64" s="573">
        <f>W63/V63-1</f>
        <v>0.18278529980657643</v>
      </c>
      <c r="X64" s="573">
        <f>X63/W63-1</f>
        <v>0.37285363859362231</v>
      </c>
      <c r="Y64" s="572">
        <f>Y63/X63-1</f>
        <v>-1.2030970815961828E-2</v>
      </c>
      <c r="Z64" s="191"/>
      <c r="AA64" s="572">
        <f>AA63/Y63-1</f>
        <v>2.1541676714090574E-2</v>
      </c>
      <c r="AB64" s="573">
        <f>AB63/AA63-1</f>
        <v>1.1409237548194229E-2</v>
      </c>
      <c r="AC64" s="573">
        <f>AC63/AB63-1</f>
        <v>-1.4470203827602335E-2</v>
      </c>
      <c r="AD64" s="572">
        <f>AD63/AC63-1</f>
        <v>-3.043100726239345E-2</v>
      </c>
      <c r="AE64" s="191"/>
      <c r="AF64" s="572">
        <f>AF63/AD63-1</f>
        <v>0.40419295745980044</v>
      </c>
      <c r="AG64" s="573">
        <f>AG63/AF63-1</f>
        <v>0.54632689743143725</v>
      </c>
      <c r="AH64" s="573">
        <f>AH63/AG63-1</f>
        <v>0.50250285907122372</v>
      </c>
      <c r="AI64" s="572">
        <f>AI63/AH63-1</f>
        <v>8.0020463676973463E-2</v>
      </c>
      <c r="AJ64" s="191"/>
      <c r="AK64" s="572">
        <f>AK63/AI63-1</f>
        <v>-0.10879787418404485</v>
      </c>
      <c r="AL64" s="573">
        <f>AL63/AK63-1</f>
        <v>0.12847105188104435</v>
      </c>
      <c r="AM64" s="573">
        <f>AM63/AL63-1</f>
        <v>0.10462043929785869</v>
      </c>
      <c r="AN64" s="572">
        <f>AN63/AM63-1</f>
        <v>9.085330976028283E-2</v>
      </c>
      <c r="AO64" s="191"/>
      <c r="AP64" s="572">
        <f>AP63/AN63-1</f>
        <v>-2.1155294543859782E-2</v>
      </c>
      <c r="AQ64" s="573">
        <f>AQ63/AP63-1</f>
        <v>-0.19869097709209915</v>
      </c>
      <c r="AR64" s="573">
        <f>AR63/AQ63-1</f>
        <v>0.76288409179307659</v>
      </c>
      <c r="AS64" s="572">
        <f>AS63/AR63-1</f>
        <v>0.23939573623100463</v>
      </c>
      <c r="AT64" s="191"/>
      <c r="AU64" s="572">
        <f>AU63/AS63-1</f>
        <v>3.2321411683551293E-3</v>
      </c>
      <c r="AV64" s="573">
        <f>AV63/AU63-1</f>
        <v>0.14463396510996018</v>
      </c>
      <c r="AW64" s="844">
        <f>AW63/AV63-1</f>
        <v>0.15212599493268608</v>
      </c>
      <c r="AX64" s="1004">
        <f>AX63/AW63-1</f>
        <v>0.28599841058266029</v>
      </c>
      <c r="AY64" s="191"/>
      <c r="AZ64" s="1004">
        <f>AZ63/AX63-1</f>
        <v>0.15644462401753789</v>
      </c>
      <c r="BA64" s="1004">
        <f>BA63/AZ63-1</f>
        <v>0.15200119758826314</v>
      </c>
      <c r="BB64" s="1004">
        <f>BB63/BA63-1</f>
        <v>0.14999999999999991</v>
      </c>
      <c r="BC64" s="1004">
        <f>BC63/BB63-1</f>
        <v>0.14999999999999991</v>
      </c>
      <c r="BD64" s="191"/>
      <c r="BE64" s="191"/>
      <c r="BF64" s="191"/>
      <c r="BG64" s="191"/>
      <c r="BH64" s="572"/>
    </row>
    <row r="65" spans="1:60" s="574" customFormat="1" hidden="1" outlineLevel="1" x14ac:dyDescent="0.25">
      <c r="A65" s="892" t="s">
        <v>721</v>
      </c>
      <c r="B65" s="641"/>
      <c r="C65" s="191"/>
      <c r="D65" s="191"/>
      <c r="E65" s="191"/>
      <c r="F65" s="191"/>
      <c r="G65" s="1004"/>
      <c r="H65" s="1004"/>
      <c r="I65" s="1004"/>
      <c r="J65" s="1004"/>
      <c r="K65" s="571">
        <f t="shared" ref="K65:BD65" si="50">K63/F63-1</f>
        <v>0.27292142857142854</v>
      </c>
      <c r="L65" s="572">
        <f t="shared" si="50"/>
        <v>0.46513888888888877</v>
      </c>
      <c r="M65" s="572">
        <f t="shared" si="50"/>
        <v>0.34815384615384626</v>
      </c>
      <c r="N65" s="572">
        <f t="shared" si="50"/>
        <v>-2.1245059288537482E-2</v>
      </c>
      <c r="O65" s="572">
        <f t="shared" si="50"/>
        <v>0.76514346439957492</v>
      </c>
      <c r="P65" s="571">
        <f t="shared" si="50"/>
        <v>0.37479027434080203</v>
      </c>
      <c r="Q65" s="572">
        <f t="shared" si="50"/>
        <v>0.48108825481088258</v>
      </c>
      <c r="R65" s="572">
        <f t="shared" si="50"/>
        <v>0.46148579253680255</v>
      </c>
      <c r="S65" s="572">
        <f t="shared" si="50"/>
        <v>0.85031802120141342</v>
      </c>
      <c r="T65" s="572">
        <f t="shared" si="50"/>
        <v>0.20727616754106815</v>
      </c>
      <c r="U65" s="571">
        <f t="shared" si="50"/>
        <v>0.45985714285714296</v>
      </c>
      <c r="V65" s="572">
        <f t="shared" si="50"/>
        <v>0.38978494623655924</v>
      </c>
      <c r="W65" s="573">
        <f t="shared" si="50"/>
        <v>0.4324197704380417</v>
      </c>
      <c r="X65" s="573">
        <f t="shared" si="50"/>
        <v>0.92384080666106483</v>
      </c>
      <c r="Y65" s="572">
        <f t="shared" si="50"/>
        <v>0.77260098311605052</v>
      </c>
      <c r="Z65" s="571">
        <f t="shared" si="50"/>
        <v>0.64246990899305212</v>
      </c>
      <c r="AA65" s="572">
        <f t="shared" si="50"/>
        <v>0.63881366860090272</v>
      </c>
      <c r="AB65" s="573">
        <f t="shared" si="50"/>
        <v>0.40136276914690661</v>
      </c>
      <c r="AC65" s="573">
        <f t="shared" si="50"/>
        <v>5.9956323208258944E-3</v>
      </c>
      <c r="AD65" s="572">
        <f t="shared" si="50"/>
        <v>-1.2740133429788636E-2</v>
      </c>
      <c r="AE65" s="571">
        <f t="shared" si="50"/>
        <v>0.20382021400824568</v>
      </c>
      <c r="AF65" s="572">
        <f t="shared" si="50"/>
        <v>0.35706979306003617</v>
      </c>
      <c r="AG65" s="573">
        <f t="shared" si="50"/>
        <v>1.0748016181733311</v>
      </c>
      <c r="AH65" s="573">
        <f t="shared" si="50"/>
        <v>2.163167035048942</v>
      </c>
      <c r="AI65" s="572">
        <f t="shared" si="50"/>
        <v>2.5235090576022796</v>
      </c>
      <c r="AJ65" s="571">
        <f t="shared" si="50"/>
        <v>1.5194255001138308</v>
      </c>
      <c r="AK65" s="572">
        <f t="shared" si="50"/>
        <v>1.2362729750101469</v>
      </c>
      <c r="AL65" s="573">
        <f t="shared" si="50"/>
        <v>0.63197660248598586</v>
      </c>
      <c r="AM65" s="573">
        <f t="shared" si="50"/>
        <v>0.19980784108207938</v>
      </c>
      <c r="AN65" s="572">
        <f t="shared" si="50"/>
        <v>0.21184218127202348</v>
      </c>
      <c r="AO65" s="571">
        <f t="shared" si="50"/>
        <v>0.43492712057517768</v>
      </c>
      <c r="AP65" s="572">
        <f t="shared" si="50"/>
        <v>0.33101713811610356</v>
      </c>
      <c r="AQ65" s="573">
        <f t="shared" si="50"/>
        <v>-5.4866280672732248E-2</v>
      </c>
      <c r="AR65" s="573">
        <f t="shared" si="50"/>
        <v>0.50835629972440333</v>
      </c>
      <c r="AS65" s="572">
        <f t="shared" si="50"/>
        <v>0.71375046476818782</v>
      </c>
      <c r="AT65" s="571">
        <f t="shared" si="50"/>
        <v>0.39565262627590125</v>
      </c>
      <c r="AU65" s="572">
        <f t="shared" si="50"/>
        <v>0.75644771700171409</v>
      </c>
      <c r="AV65" s="573">
        <f t="shared" si="50"/>
        <v>1.5090067094515751</v>
      </c>
      <c r="AW65" s="844">
        <f t="shared" si="50"/>
        <v>0.63975150996993846</v>
      </c>
      <c r="AX65" s="1004">
        <f t="shared" si="50"/>
        <v>0.7014080119272128</v>
      </c>
      <c r="AY65" s="191">
        <f t="shared" si="50"/>
        <v>0.8252981439448186</v>
      </c>
      <c r="AZ65" s="1004">
        <f t="shared" si="50"/>
        <v>0.96124512753564861</v>
      </c>
      <c r="BA65" s="1004">
        <f t="shared" si="50"/>
        <v>0.97386833219488289</v>
      </c>
      <c r="BB65" s="1004">
        <f t="shared" si="50"/>
        <v>0.97022599264999565</v>
      </c>
      <c r="BC65" s="1004">
        <f t="shared" si="50"/>
        <v>0.76186834517231206</v>
      </c>
      <c r="BD65" s="191">
        <f t="shared" si="50"/>
        <v>0.90080390376304886</v>
      </c>
      <c r="BE65" s="191">
        <f>BE63/BD63-1</f>
        <v>0.16145850592967648</v>
      </c>
      <c r="BF65" s="191">
        <f>BF63/BE63-1</f>
        <v>0.14822732249337078</v>
      </c>
      <c r="BG65" s="191">
        <f>BG63/BF63-1</f>
        <v>0.14833099975616593</v>
      </c>
      <c r="BH65" s="572"/>
    </row>
    <row r="66" spans="1:60" s="112" customFormat="1" hidden="1" outlineLevel="1" x14ac:dyDescent="0.25">
      <c r="A66" s="506"/>
      <c r="B66" s="638"/>
      <c r="C66" s="1045"/>
      <c r="D66" s="1045"/>
      <c r="E66" s="1045"/>
      <c r="F66" s="1045"/>
      <c r="G66" s="1046"/>
      <c r="H66" s="1046"/>
      <c r="I66" s="1046"/>
      <c r="J66" s="1046"/>
      <c r="K66" s="1045"/>
      <c r="L66" s="1046"/>
      <c r="M66" s="1046"/>
      <c r="N66" s="1046"/>
      <c r="O66" s="1046"/>
      <c r="P66" s="1045"/>
      <c r="Q66" s="1046"/>
      <c r="R66" s="1046"/>
      <c r="S66" s="1046"/>
      <c r="T66" s="1046"/>
      <c r="U66" s="1045"/>
      <c r="V66" s="1046"/>
      <c r="W66" s="1046"/>
      <c r="X66" s="1046"/>
      <c r="Y66" s="1046"/>
      <c r="Z66" s="1045"/>
      <c r="AA66" s="1046"/>
      <c r="AB66" s="1046"/>
      <c r="AC66" s="1046"/>
      <c r="AD66" s="1046"/>
      <c r="AE66" s="1045"/>
      <c r="AF66" s="1046"/>
      <c r="AG66" s="1046"/>
      <c r="AH66" s="1046"/>
      <c r="AI66" s="1046"/>
      <c r="AJ66" s="1045"/>
      <c r="AK66" s="1046"/>
      <c r="AL66" s="1046"/>
      <c r="AM66" s="1046"/>
      <c r="AN66" s="1046"/>
      <c r="AO66" s="1045"/>
      <c r="AP66" s="1046"/>
      <c r="AQ66" s="1046"/>
      <c r="AR66" s="1046"/>
      <c r="AS66" s="1046"/>
      <c r="AT66" s="1045"/>
      <c r="AU66" s="1046"/>
      <c r="AV66" s="1046"/>
      <c r="AW66" s="1047"/>
      <c r="AX66" s="1046"/>
      <c r="AY66" s="1045"/>
      <c r="AZ66" s="1046"/>
      <c r="BA66" s="1046"/>
      <c r="BB66" s="1046"/>
      <c r="BC66" s="1046"/>
      <c r="BD66" s="1045"/>
      <c r="BE66" s="1045"/>
      <c r="BF66" s="1045"/>
      <c r="BG66" s="1045"/>
      <c r="BH66" s="1034"/>
    </row>
    <row r="67" spans="1:60" s="120" customFormat="1" hidden="1" outlineLevel="1" x14ac:dyDescent="0.25">
      <c r="A67" s="222" t="s">
        <v>635</v>
      </c>
      <c r="B67" s="639"/>
      <c r="C67" s="100"/>
      <c r="D67" s="100"/>
      <c r="E67" s="100"/>
      <c r="F67" s="100"/>
      <c r="G67" s="1005">
        <f t="shared" ref="G67:AT67" si="51">G90/G54</f>
        <v>0.95277777777777772</v>
      </c>
      <c r="H67" s="1005">
        <f t="shared" si="51"/>
        <v>0.79230769230769227</v>
      </c>
      <c r="I67" s="1005">
        <f t="shared" si="51"/>
        <v>0.76086956521739135</v>
      </c>
      <c r="J67" s="1005">
        <f t="shared" si="51"/>
        <v>1.0463033247305298</v>
      </c>
      <c r="K67" s="100">
        <f t="shared" si="51"/>
        <v>0.88151552390732224</v>
      </c>
      <c r="L67" s="1005">
        <f t="shared" si="51"/>
        <v>0.85693430656934311</v>
      </c>
      <c r="M67" s="1005">
        <f t="shared" si="51"/>
        <v>0.86488645441058998</v>
      </c>
      <c r="N67" s="1005">
        <f t="shared" si="51"/>
        <v>1.1003533568904593</v>
      </c>
      <c r="O67" s="1005">
        <f t="shared" si="51"/>
        <v>0.84578997161778624</v>
      </c>
      <c r="P67" s="100">
        <f t="shared" si="51"/>
        <v>0.90442857142857147</v>
      </c>
      <c r="Q67" s="1005">
        <f t="shared" si="51"/>
        <v>0.90008960573476704</v>
      </c>
      <c r="R67" s="1005">
        <f t="shared" si="51"/>
        <v>0.90044506910283439</v>
      </c>
      <c r="S67" s="1005">
        <f t="shared" si="51"/>
        <v>0.88633412267970357</v>
      </c>
      <c r="T67" s="1005">
        <f t="shared" si="51"/>
        <v>1.245137849967942</v>
      </c>
      <c r="U67" s="100">
        <f t="shared" si="51"/>
        <v>0.9914473040414914</v>
      </c>
      <c r="V67" s="1005">
        <f t="shared" si="51"/>
        <v>0.95551257253384914</v>
      </c>
      <c r="W67" s="1005">
        <f t="shared" si="51"/>
        <v>0.78506405014990466</v>
      </c>
      <c r="X67" s="1005">
        <f t="shared" si="51"/>
        <v>0.98554695255112168</v>
      </c>
      <c r="Y67" s="1005">
        <f t="shared" si="51"/>
        <v>0.89221123703882321</v>
      </c>
      <c r="Z67" s="100">
        <f t="shared" si="51"/>
        <v>0.90849836753175572</v>
      </c>
      <c r="AA67" s="1005">
        <f t="shared" si="51"/>
        <v>0.98355496105122353</v>
      </c>
      <c r="AB67" s="1005">
        <f t="shared" si="51"/>
        <v>0.85576474249260925</v>
      </c>
      <c r="AC67" s="1005">
        <f t="shared" si="51"/>
        <v>1.0228528575939375</v>
      </c>
      <c r="AD67" s="1005">
        <f t="shared" si="51"/>
        <v>1.1571341339303887</v>
      </c>
      <c r="AE67" s="100">
        <f t="shared" si="51"/>
        <v>1.0030981816742059</v>
      </c>
      <c r="AF67" s="1005">
        <f t="shared" si="51"/>
        <v>0.88219831769653834</v>
      </c>
      <c r="AG67" s="1005">
        <f t="shared" si="51"/>
        <v>0.90137716570413151</v>
      </c>
      <c r="AH67" s="1005">
        <f t="shared" si="51"/>
        <v>1.0299966546481805</v>
      </c>
      <c r="AI67" s="1005">
        <f t="shared" si="51"/>
        <v>1.0972139422121536</v>
      </c>
      <c r="AJ67" s="100">
        <f t="shared" si="51"/>
        <v>0.97930144850472167</v>
      </c>
      <c r="AK67" s="1005">
        <f t="shared" si="51"/>
        <v>0.8537033114453153</v>
      </c>
      <c r="AL67" s="1005">
        <f t="shared" si="51"/>
        <v>1.220775642350348</v>
      </c>
      <c r="AM67" s="1005">
        <f t="shared" si="51"/>
        <v>1.0713935531315113</v>
      </c>
      <c r="AN67" s="1005">
        <f t="shared" si="51"/>
        <v>1.0859867283778508</v>
      </c>
      <c r="AO67" s="100">
        <f t="shared" si="51"/>
        <v>1.0610192115173762</v>
      </c>
      <c r="AP67" s="1005">
        <f t="shared" si="51"/>
        <v>0.79467186484730346</v>
      </c>
      <c r="AQ67" s="1005">
        <f t="shared" si="51"/>
        <v>1.6778374960480555</v>
      </c>
      <c r="AR67" s="1005">
        <f t="shared" si="51"/>
        <v>0.89895244821092279</v>
      </c>
      <c r="AS67" s="1005">
        <f t="shared" si="51"/>
        <v>1.1782319686898179</v>
      </c>
      <c r="AT67" s="100">
        <f t="shared" si="51"/>
        <v>1.0416020436091598</v>
      </c>
      <c r="AU67" s="659" t="str">
        <f>IFERROR(AU90/AU54,"N/A")</f>
        <v>N/A</v>
      </c>
      <c r="AV67" s="1005">
        <f>AV90/AV54</f>
        <v>0.80982905982905984</v>
      </c>
      <c r="AW67" s="727">
        <f>AW90/AW54</f>
        <v>1.038921820825411</v>
      </c>
      <c r="AX67" s="1005">
        <f>AX90/AX54</f>
        <v>0.89633076512319776</v>
      </c>
      <c r="AY67" s="100">
        <f>AY90/AY54</f>
        <v>1.0235342353423533</v>
      </c>
      <c r="AZ67" s="99">
        <v>1.05</v>
      </c>
      <c r="BA67" s="99">
        <v>1</v>
      </c>
      <c r="BB67" s="99">
        <v>1</v>
      </c>
      <c r="BC67" s="99">
        <v>1</v>
      </c>
      <c r="BD67" s="100">
        <f>BD90/BD54</f>
        <v>1.009628264733953</v>
      </c>
      <c r="BE67" s="1011">
        <v>0.95</v>
      </c>
      <c r="BF67" s="1011">
        <v>0.95</v>
      </c>
      <c r="BG67" s="1011">
        <v>0.95</v>
      </c>
      <c r="BH67" s="366"/>
    </row>
    <row r="68" spans="1:60" s="120" customFormat="1" hidden="1" outlineLevel="1" x14ac:dyDescent="0.25">
      <c r="A68" s="222" t="s">
        <v>636</v>
      </c>
      <c r="B68" s="639"/>
      <c r="C68" s="100"/>
      <c r="D68" s="100"/>
      <c r="E68" s="100"/>
      <c r="F68" s="100"/>
      <c r="G68" s="1005" t="str">
        <f t="shared" ref="G68:AE68" si="52">IFERROR(G93/G57,"N/A")</f>
        <v>N/A</v>
      </c>
      <c r="H68" s="1005" t="str">
        <f t="shared" si="52"/>
        <v>N/A</v>
      </c>
      <c r="I68" s="1005" t="str">
        <f t="shared" si="52"/>
        <v>N/A</v>
      </c>
      <c r="J68" s="1005" t="str">
        <f t="shared" si="52"/>
        <v>N/A</v>
      </c>
      <c r="K68" s="100" t="str">
        <f t="shared" si="52"/>
        <v>N/A</v>
      </c>
      <c r="L68" s="1005" t="str">
        <f t="shared" si="52"/>
        <v>N/A</v>
      </c>
      <c r="M68" s="1005" t="str">
        <f t="shared" si="52"/>
        <v>N/A</v>
      </c>
      <c r="N68" s="1005" t="str">
        <f t="shared" si="52"/>
        <v>N/A</v>
      </c>
      <c r="O68" s="1005" t="str">
        <f t="shared" si="52"/>
        <v>N/A</v>
      </c>
      <c r="P68" s="100" t="str">
        <f t="shared" si="52"/>
        <v>N/A</v>
      </c>
      <c r="Q68" s="1005" t="str">
        <f t="shared" si="52"/>
        <v>N/A</v>
      </c>
      <c r="R68" s="1005" t="str">
        <f t="shared" si="52"/>
        <v>N/A</v>
      </c>
      <c r="S68" s="1005" t="str">
        <f t="shared" si="52"/>
        <v>N/A</v>
      </c>
      <c r="T68" s="1005" t="str">
        <f t="shared" si="52"/>
        <v>N/A</v>
      </c>
      <c r="U68" s="100" t="str">
        <f t="shared" si="52"/>
        <v>N/A</v>
      </c>
      <c r="V68" s="1005" t="str">
        <f t="shared" si="52"/>
        <v>N/A</v>
      </c>
      <c r="W68" s="1005" t="str">
        <f t="shared" si="52"/>
        <v>N/A</v>
      </c>
      <c r="X68" s="1005" t="str">
        <f t="shared" si="52"/>
        <v>N/A</v>
      </c>
      <c r="Y68" s="1005" t="str">
        <f t="shared" si="52"/>
        <v>N/A</v>
      </c>
      <c r="Z68" s="100" t="str">
        <f t="shared" si="52"/>
        <v>N/A</v>
      </c>
      <c r="AA68" s="1005" t="str">
        <f t="shared" si="52"/>
        <v>N/A</v>
      </c>
      <c r="AB68" s="1005" t="str">
        <f t="shared" si="52"/>
        <v>N/A</v>
      </c>
      <c r="AC68" s="659" t="str">
        <f t="shared" si="52"/>
        <v>N/A</v>
      </c>
      <c r="AD68" s="659" t="str">
        <f t="shared" si="52"/>
        <v>N/A</v>
      </c>
      <c r="AE68" s="702" t="str">
        <f t="shared" si="52"/>
        <v>N/A</v>
      </c>
      <c r="AF68" s="1005">
        <f t="shared" ref="AF68:AW68" si="53">AF93/AF57</f>
        <v>0.8378046283022732</v>
      </c>
      <c r="AG68" s="1005">
        <f t="shared" si="53"/>
        <v>0.64556651970046885</v>
      </c>
      <c r="AH68" s="1005">
        <f t="shared" si="53"/>
        <v>1.0530813877045024</v>
      </c>
      <c r="AI68" s="1005">
        <f t="shared" si="53"/>
        <v>1.0320063849887611</v>
      </c>
      <c r="AJ68" s="100">
        <f t="shared" si="53"/>
        <v>0.95475136785268377</v>
      </c>
      <c r="AK68" s="1005">
        <f t="shared" si="53"/>
        <v>0.80870186581976977</v>
      </c>
      <c r="AL68" s="1005">
        <f t="shared" si="53"/>
        <v>1.0703561235885346</v>
      </c>
      <c r="AM68" s="1005">
        <f t="shared" si="53"/>
        <v>0.99832158021969764</v>
      </c>
      <c r="AN68" s="1005">
        <f t="shared" si="53"/>
        <v>1.0651118930978174</v>
      </c>
      <c r="AO68" s="100">
        <f t="shared" si="53"/>
        <v>0.99531592684112857</v>
      </c>
      <c r="AP68" s="1005">
        <f t="shared" si="53"/>
        <v>0.87378840998143947</v>
      </c>
      <c r="AQ68" s="1005">
        <f t="shared" si="53"/>
        <v>1.0570273615463619</v>
      </c>
      <c r="AR68" s="1005">
        <f t="shared" si="53"/>
        <v>0.97090062790915621</v>
      </c>
      <c r="AS68" s="1005">
        <f t="shared" si="53"/>
        <v>0.98803006232433088</v>
      </c>
      <c r="AT68" s="100">
        <f t="shared" si="53"/>
        <v>0.97280912312169732</v>
      </c>
      <c r="AU68" s="1005">
        <f t="shared" si="53"/>
        <v>1.0139127638101786</v>
      </c>
      <c r="AV68" s="1005">
        <f t="shared" si="53"/>
        <v>0.97710712903209995</v>
      </c>
      <c r="AW68" s="727">
        <f t="shared" si="53"/>
        <v>1.0140683845824485</v>
      </c>
      <c r="AX68" s="1005">
        <f t="shared" ref="AX68" si="54">AX93/AX57</f>
        <v>1.0140709388482942</v>
      </c>
      <c r="AY68" s="100">
        <f>AY93/AY57</f>
        <v>1.0057128225051655</v>
      </c>
      <c r="AZ68" s="99">
        <v>1</v>
      </c>
      <c r="BA68" s="99">
        <v>1</v>
      </c>
      <c r="BB68" s="99">
        <v>1</v>
      </c>
      <c r="BC68" s="99">
        <v>1</v>
      </c>
      <c r="BD68" s="100">
        <f>BD93/BD57</f>
        <v>1</v>
      </c>
      <c r="BE68" s="1011">
        <v>1</v>
      </c>
      <c r="BF68" s="1011">
        <v>1</v>
      </c>
      <c r="BG68" s="1011">
        <v>1</v>
      </c>
      <c r="BH68" s="366"/>
    </row>
    <row r="69" spans="1:60" s="120" customFormat="1" hidden="1" outlineLevel="1" x14ac:dyDescent="0.25">
      <c r="A69" s="222" t="s">
        <v>651</v>
      </c>
      <c r="B69" s="639"/>
      <c r="C69" s="100"/>
      <c r="D69" s="100"/>
      <c r="E69" s="100"/>
      <c r="F69" s="100"/>
      <c r="G69" s="1005"/>
      <c r="H69" s="1005"/>
      <c r="I69" s="1005"/>
      <c r="J69" s="1005"/>
      <c r="K69" s="100"/>
      <c r="L69" s="1005"/>
      <c r="M69" s="1005"/>
      <c r="N69" s="1005"/>
      <c r="O69" s="1005"/>
      <c r="P69" s="100"/>
      <c r="Q69" s="1005"/>
      <c r="R69" s="1005"/>
      <c r="S69" s="1005"/>
      <c r="T69" s="1005"/>
      <c r="U69" s="100"/>
      <c r="V69" s="1005"/>
      <c r="W69" s="1005"/>
      <c r="X69" s="1005"/>
      <c r="Y69" s="1005"/>
      <c r="Z69" s="100"/>
      <c r="AA69" s="1005"/>
      <c r="AB69" s="1005"/>
      <c r="AC69" s="659"/>
      <c r="AD69" s="659"/>
      <c r="AE69" s="702"/>
      <c r="AF69" s="1005"/>
      <c r="AG69" s="1005"/>
      <c r="AH69" s="1005"/>
      <c r="AI69" s="1005"/>
      <c r="AJ69" s="100"/>
      <c r="AK69" s="1005"/>
      <c r="AL69" s="1005"/>
      <c r="AM69" s="1005"/>
      <c r="AN69" s="1005"/>
      <c r="AO69" s="100"/>
      <c r="AP69" s="1005"/>
      <c r="AQ69" s="1005"/>
      <c r="AR69" s="1005"/>
      <c r="AS69" s="1005"/>
      <c r="AT69" s="100"/>
      <c r="AU69" s="1005"/>
      <c r="AV69" s="1005"/>
      <c r="AW69" s="727"/>
      <c r="AX69" s="1005"/>
      <c r="AY69" s="100"/>
      <c r="AZ69" s="1005"/>
      <c r="BA69" s="1005"/>
      <c r="BB69" s="1005"/>
      <c r="BC69" s="1005"/>
      <c r="BD69" s="100"/>
      <c r="BE69" s="1011">
        <v>1.05</v>
      </c>
      <c r="BF69" s="1011">
        <v>1</v>
      </c>
      <c r="BG69" s="1011">
        <v>0.95</v>
      </c>
      <c r="BH69" s="366"/>
    </row>
    <row r="70" spans="1:60" s="114" customFormat="1" hidden="1" outlineLevel="1" x14ac:dyDescent="0.25">
      <c r="A70" s="818" t="s">
        <v>637</v>
      </c>
      <c r="B70" s="640"/>
      <c r="C70" s="569"/>
      <c r="D70" s="569"/>
      <c r="E70" s="569"/>
      <c r="F70" s="569"/>
      <c r="G70" s="568">
        <f t="shared" ref="G70:AL70" si="55">G99/G63</f>
        <v>0.95277777777777772</v>
      </c>
      <c r="H70" s="568">
        <f t="shared" si="55"/>
        <v>0.79230769230769227</v>
      </c>
      <c r="I70" s="568">
        <f t="shared" si="55"/>
        <v>0.76086956521739135</v>
      </c>
      <c r="J70" s="568">
        <f t="shared" si="55"/>
        <v>1.0463033247305298</v>
      </c>
      <c r="K70" s="569">
        <f t="shared" si="55"/>
        <v>0.88151552390732224</v>
      </c>
      <c r="L70" s="568">
        <f t="shared" si="55"/>
        <v>0.85693430656934311</v>
      </c>
      <c r="M70" s="568">
        <f t="shared" si="55"/>
        <v>0.86488645441058998</v>
      </c>
      <c r="N70" s="568">
        <f t="shared" si="55"/>
        <v>1.1003533568904593</v>
      </c>
      <c r="O70" s="568">
        <f t="shared" si="55"/>
        <v>0.84578997161778624</v>
      </c>
      <c r="P70" s="569">
        <f t="shared" si="55"/>
        <v>0.90442857142857147</v>
      </c>
      <c r="Q70" s="568">
        <f t="shared" si="55"/>
        <v>0.90008960573476704</v>
      </c>
      <c r="R70" s="568">
        <f t="shared" si="55"/>
        <v>0.90044506910283439</v>
      </c>
      <c r="S70" s="568">
        <f t="shared" si="55"/>
        <v>0.88633412267970357</v>
      </c>
      <c r="T70" s="568">
        <f t="shared" si="55"/>
        <v>1.245137849967942</v>
      </c>
      <c r="U70" s="569">
        <f t="shared" si="55"/>
        <v>0.9914473040414914</v>
      </c>
      <c r="V70" s="568">
        <f t="shared" si="55"/>
        <v>0.95551257253384914</v>
      </c>
      <c r="W70" s="568">
        <f t="shared" si="55"/>
        <v>0.78506405014990466</v>
      </c>
      <c r="X70" s="568">
        <f t="shared" si="55"/>
        <v>0.98554695255112168</v>
      </c>
      <c r="Y70" s="568">
        <f t="shared" si="55"/>
        <v>0.89221123703882321</v>
      </c>
      <c r="Z70" s="569">
        <f t="shared" si="55"/>
        <v>0.90849836753175572</v>
      </c>
      <c r="AA70" s="568">
        <f t="shared" si="55"/>
        <v>0.98355496105122353</v>
      </c>
      <c r="AB70" s="568">
        <f t="shared" si="55"/>
        <v>0.85576474249260925</v>
      </c>
      <c r="AC70" s="568">
        <f t="shared" si="55"/>
        <v>1.0316150931480896</v>
      </c>
      <c r="AD70" s="568">
        <f t="shared" si="55"/>
        <v>1.2199063708528395</v>
      </c>
      <c r="AE70" s="569">
        <f t="shared" si="55"/>
        <v>1.0205588605026379</v>
      </c>
      <c r="AF70" s="568">
        <f t="shared" si="55"/>
        <v>0.86962950078274481</v>
      </c>
      <c r="AG70" s="568">
        <f t="shared" si="55"/>
        <v>0.76431879112844259</v>
      </c>
      <c r="AH70" s="568">
        <f t="shared" si="55"/>
        <v>1.0453320356367448</v>
      </c>
      <c r="AI70" s="568">
        <f t="shared" si="55"/>
        <v>1.05096181618624</v>
      </c>
      <c r="AJ70" s="569">
        <f t="shared" si="55"/>
        <v>0.96454641888971826</v>
      </c>
      <c r="AK70" s="568">
        <f t="shared" si="55"/>
        <v>0.8169644014623143</v>
      </c>
      <c r="AL70" s="568">
        <f t="shared" si="55"/>
        <v>1.0954415954415955</v>
      </c>
      <c r="AM70" s="568">
        <f t="shared" ref="AM70:BG70" si="56">AM99/AM63</f>
        <v>1.0107222713327439</v>
      </c>
      <c r="AN70" s="568">
        <f t="shared" si="56"/>
        <v>1.0686808210427967</v>
      </c>
      <c r="AO70" s="569">
        <f t="shared" si="56"/>
        <v>1.0066368773820475</v>
      </c>
      <c r="AP70" s="568">
        <f t="shared" si="56"/>
        <v>0.86192925042854918</v>
      </c>
      <c r="AQ70" s="568">
        <f t="shared" si="56"/>
        <v>1.1047622520420071</v>
      </c>
      <c r="AR70" s="568">
        <f t="shared" si="56"/>
        <v>0.96247138641440744</v>
      </c>
      <c r="AS70" s="568">
        <f t="shared" si="56"/>
        <v>1.005062389781761</v>
      </c>
      <c r="AT70" s="569">
        <f t="shared" si="56"/>
        <v>0.98020547851146766</v>
      </c>
      <c r="AU70" s="568">
        <f t="shared" si="56"/>
        <v>1.0251694041189323</v>
      </c>
      <c r="AV70" s="568">
        <f t="shared" si="56"/>
        <v>0.9752108554846648</v>
      </c>
      <c r="AW70" s="819">
        <f t="shared" si="56"/>
        <v>1.015002754149094</v>
      </c>
      <c r="AX70" s="568">
        <f t="shared" si="56"/>
        <v>1.0090243264452001</v>
      </c>
      <c r="AY70" s="569">
        <f t="shared" si="56"/>
        <v>1.0061799914447422</v>
      </c>
      <c r="AZ70" s="568">
        <f t="shared" si="56"/>
        <v>1.0017401718158812</v>
      </c>
      <c r="BA70" s="568">
        <f t="shared" si="56"/>
        <v>1</v>
      </c>
      <c r="BB70" s="568">
        <f t="shared" si="56"/>
        <v>1</v>
      </c>
      <c r="BC70" s="568">
        <f t="shared" si="56"/>
        <v>1</v>
      </c>
      <c r="BD70" s="569">
        <f t="shared" si="56"/>
        <v>1.0003480118009709</v>
      </c>
      <c r="BE70" s="569">
        <f t="shared" si="56"/>
        <v>0.99864460696672142</v>
      </c>
      <c r="BF70" s="569">
        <f t="shared" si="56"/>
        <v>0.99825736014661415</v>
      </c>
      <c r="BG70" s="569">
        <f t="shared" si="56"/>
        <v>0.99786043602182051</v>
      </c>
      <c r="BH70" s="365"/>
    </row>
    <row r="71" spans="1:60" s="112" customFormat="1" hidden="1" outlineLevel="1" x14ac:dyDescent="0.25">
      <c r="A71" s="506"/>
      <c r="B71" s="638"/>
      <c r="C71" s="1045"/>
      <c r="D71" s="1045"/>
      <c r="E71" s="1045"/>
      <c r="F71" s="1045"/>
      <c r="G71" s="1046"/>
      <c r="H71" s="1046"/>
      <c r="I71" s="1046"/>
      <c r="J71" s="1046"/>
      <c r="K71" s="1045"/>
      <c r="L71" s="1046"/>
      <c r="M71" s="1046"/>
      <c r="N71" s="1046"/>
      <c r="O71" s="1046"/>
      <c r="P71" s="1045"/>
      <c r="Q71" s="1046"/>
      <c r="R71" s="1046"/>
      <c r="S71" s="1046"/>
      <c r="T71" s="1046"/>
      <c r="U71" s="1045"/>
      <c r="V71" s="1046"/>
      <c r="W71" s="1046"/>
      <c r="X71" s="1046"/>
      <c r="Y71" s="1046"/>
      <c r="Z71" s="1045"/>
      <c r="AA71" s="1046"/>
      <c r="AB71" s="1046"/>
      <c r="AC71" s="1046"/>
      <c r="AD71" s="1046"/>
      <c r="AE71" s="1045"/>
      <c r="AF71" s="1046"/>
      <c r="AG71" s="1046"/>
      <c r="AH71" s="1046"/>
      <c r="AI71" s="1046"/>
      <c r="AJ71" s="1045"/>
      <c r="AK71" s="1046"/>
      <c r="AL71" s="1046"/>
      <c r="AM71" s="1046"/>
      <c r="AN71" s="1046"/>
      <c r="AO71" s="1045"/>
      <c r="AP71" s="1046"/>
      <c r="AQ71" s="1046"/>
      <c r="AR71" s="1046"/>
      <c r="AS71" s="1046"/>
      <c r="AT71" s="1045"/>
      <c r="AU71" s="1046"/>
      <c r="AV71" s="1046"/>
      <c r="AW71" s="1047"/>
      <c r="AX71" s="1046"/>
      <c r="AY71" s="1045"/>
      <c r="AZ71" s="1046"/>
      <c r="BA71" s="1046"/>
      <c r="BB71" s="1046"/>
      <c r="BC71" s="1046"/>
      <c r="BD71" s="1045"/>
      <c r="BE71" s="1045"/>
      <c r="BF71" s="1045"/>
      <c r="BG71" s="1045"/>
      <c r="BH71" s="1034"/>
    </row>
    <row r="72" spans="1:60" s="356" customFormat="1" hidden="1" outlineLevel="1" x14ac:dyDescent="0.25">
      <c r="A72" s="526" t="s">
        <v>525</v>
      </c>
      <c r="B72" s="577"/>
      <c r="C72" s="440"/>
      <c r="D72" s="440"/>
      <c r="E72" s="440"/>
      <c r="F72" s="440"/>
      <c r="G72" s="439"/>
      <c r="H72" s="439"/>
      <c r="I72" s="439"/>
      <c r="J72" s="439"/>
      <c r="K72" s="440"/>
      <c r="L72" s="439"/>
      <c r="M72" s="439"/>
      <c r="N72" s="439"/>
      <c r="O72" s="439"/>
      <c r="P72" s="440"/>
      <c r="Q72" s="439"/>
      <c r="R72" s="439"/>
      <c r="S72" s="439"/>
      <c r="T72" s="439"/>
      <c r="U72" s="440"/>
      <c r="V72" s="439"/>
      <c r="W72" s="439"/>
      <c r="X72" s="439"/>
      <c r="Y72" s="439"/>
      <c r="Z72" s="440"/>
      <c r="AA72" s="439"/>
      <c r="AB72" s="439"/>
      <c r="AC72" s="439"/>
      <c r="AD72" s="439"/>
      <c r="AE72" s="440"/>
      <c r="AF72" s="439"/>
      <c r="AG72" s="439"/>
      <c r="AH72" s="439"/>
      <c r="AI72" s="439"/>
      <c r="AJ72" s="440"/>
      <c r="AK72" s="439"/>
      <c r="AL72" s="439"/>
      <c r="AM72" s="439">
        <v>90000</v>
      </c>
      <c r="AN72" s="439">
        <f>AO72</f>
        <v>90000</v>
      </c>
      <c r="AO72" s="440">
        <v>90000</v>
      </c>
      <c r="AP72" s="439">
        <v>90000</v>
      </c>
      <c r="AQ72" s="439">
        <v>90000</v>
      </c>
      <c r="AR72" s="439">
        <v>90000</v>
      </c>
      <c r="AS72" s="439">
        <f>AT72</f>
        <v>100000</v>
      </c>
      <c r="AT72" s="440">
        <v>100000</v>
      </c>
      <c r="AU72" s="439">
        <v>100000</v>
      </c>
      <c r="AV72" s="439">
        <v>100000</v>
      </c>
      <c r="AW72" s="726">
        <v>100000</v>
      </c>
      <c r="AX72" s="441">
        <v>100000</v>
      </c>
      <c r="AY72" s="440">
        <f>AX72</f>
        <v>100000</v>
      </c>
      <c r="AZ72" s="441">
        <v>120000</v>
      </c>
      <c r="BA72" s="441">
        <v>120000</v>
      </c>
      <c r="BB72" s="441">
        <v>120000</v>
      </c>
      <c r="BC72" s="441">
        <v>120000</v>
      </c>
      <c r="BD72" s="440">
        <f t="shared" ref="BD72:BD76" si="57">BC72</f>
        <v>120000</v>
      </c>
      <c r="BE72" s="1008">
        <v>120000</v>
      </c>
      <c r="BF72" s="1008">
        <v>130000</v>
      </c>
      <c r="BG72" s="1008">
        <v>140000</v>
      </c>
      <c r="BH72" s="361"/>
    </row>
    <row r="73" spans="1:60" s="356" customFormat="1" hidden="1" outlineLevel="1" x14ac:dyDescent="0.25">
      <c r="A73" s="526" t="s">
        <v>526</v>
      </c>
      <c r="B73" s="577"/>
      <c r="C73" s="440"/>
      <c r="D73" s="440"/>
      <c r="E73" s="440"/>
      <c r="F73" s="440"/>
      <c r="G73" s="439"/>
      <c r="H73" s="439"/>
      <c r="I73" s="439"/>
      <c r="J73" s="439"/>
      <c r="K73" s="440"/>
      <c r="L73" s="439"/>
      <c r="M73" s="439"/>
      <c r="N73" s="439"/>
      <c r="O73" s="439"/>
      <c r="P73" s="440"/>
      <c r="Q73" s="439"/>
      <c r="R73" s="439"/>
      <c r="S73" s="439"/>
      <c r="T73" s="439"/>
      <c r="U73" s="440"/>
      <c r="V73" s="439"/>
      <c r="W73" s="439"/>
      <c r="X73" s="439"/>
      <c r="Y73" s="439"/>
      <c r="Z73" s="440"/>
      <c r="AA73" s="439"/>
      <c r="AB73" s="439"/>
      <c r="AC73" s="439"/>
      <c r="AD73" s="439"/>
      <c r="AE73" s="440"/>
      <c r="AF73" s="439"/>
      <c r="AG73" s="439"/>
      <c r="AH73" s="439"/>
      <c r="AI73" s="439"/>
      <c r="AJ73" s="440"/>
      <c r="AK73" s="439"/>
      <c r="AL73" s="439"/>
      <c r="AM73" s="439">
        <v>350000</v>
      </c>
      <c r="AN73" s="439">
        <f>AO73</f>
        <v>400000</v>
      </c>
      <c r="AO73" s="440">
        <v>400000</v>
      </c>
      <c r="AP73" s="439">
        <v>400000</v>
      </c>
      <c r="AQ73" s="439">
        <v>400000</v>
      </c>
      <c r="AR73" s="439">
        <v>500000</v>
      </c>
      <c r="AS73" s="439">
        <f>AT73</f>
        <v>500000</v>
      </c>
      <c r="AT73" s="440">
        <v>500000</v>
      </c>
      <c r="AU73" s="439">
        <v>500000</v>
      </c>
      <c r="AV73" s="439">
        <v>500000</v>
      </c>
      <c r="AW73" s="726">
        <v>500000</v>
      </c>
      <c r="AX73" s="441">
        <v>500000</v>
      </c>
      <c r="AY73" s="440">
        <f>AX73</f>
        <v>500000</v>
      </c>
      <c r="AZ73" s="441">
        <v>500000</v>
      </c>
      <c r="BA73" s="441">
        <v>500000</v>
      </c>
      <c r="BB73" s="441">
        <v>500000</v>
      </c>
      <c r="BC73" s="441">
        <v>500000</v>
      </c>
      <c r="BD73" s="440">
        <f t="shared" si="57"/>
        <v>500000</v>
      </c>
      <c r="BE73" s="1008">
        <v>600000</v>
      </c>
      <c r="BF73" s="1008">
        <v>600000</v>
      </c>
      <c r="BG73" s="1008">
        <v>600000</v>
      </c>
      <c r="BH73" s="361"/>
    </row>
    <row r="74" spans="1:60" s="356" customFormat="1" hidden="1" outlineLevel="1" x14ac:dyDescent="0.25">
      <c r="A74" s="526" t="s">
        <v>573</v>
      </c>
      <c r="B74" s="577"/>
      <c r="C74" s="440"/>
      <c r="D74" s="440"/>
      <c r="E74" s="440"/>
      <c r="F74" s="440"/>
      <c r="G74" s="439"/>
      <c r="H74" s="439"/>
      <c r="I74" s="439"/>
      <c r="J74" s="439"/>
      <c r="K74" s="440"/>
      <c r="L74" s="439"/>
      <c r="M74" s="439"/>
      <c r="N74" s="439"/>
      <c r="O74" s="439"/>
      <c r="P74" s="440"/>
      <c r="Q74" s="439"/>
      <c r="R74" s="439"/>
      <c r="S74" s="439"/>
      <c r="T74" s="439"/>
      <c r="U74" s="440"/>
      <c r="V74" s="439"/>
      <c r="W74" s="439"/>
      <c r="X74" s="439"/>
      <c r="Y74" s="439"/>
      <c r="Z74" s="440"/>
      <c r="AA74" s="439"/>
      <c r="AB74" s="439"/>
      <c r="AC74" s="439"/>
      <c r="AD74" s="439"/>
      <c r="AE74" s="440"/>
      <c r="AF74" s="439"/>
      <c r="AG74" s="439"/>
      <c r="AH74" s="439"/>
      <c r="AI74" s="439"/>
      <c r="AJ74" s="440"/>
      <c r="AK74" s="439"/>
      <c r="AL74" s="439"/>
      <c r="AM74" s="439">
        <v>150000</v>
      </c>
      <c r="AN74" s="439">
        <f>AO74</f>
        <v>150000</v>
      </c>
      <c r="AO74" s="440">
        <v>150000</v>
      </c>
      <c r="AP74" s="439">
        <v>200000</v>
      </c>
      <c r="AQ74" s="439">
        <v>200000</v>
      </c>
      <c r="AR74" s="439">
        <v>250000</v>
      </c>
      <c r="AS74" s="439">
        <f>AT74</f>
        <v>450000</v>
      </c>
      <c r="AT74" s="440">
        <v>450000</v>
      </c>
      <c r="AU74" s="439">
        <v>450000</v>
      </c>
      <c r="AV74" s="439">
        <v>450000</v>
      </c>
      <c r="AW74" s="726">
        <v>450000</v>
      </c>
      <c r="AX74" s="441">
        <v>450000</v>
      </c>
      <c r="AY74" s="440">
        <f>AX74</f>
        <v>450000</v>
      </c>
      <c r="AZ74" s="441">
        <v>450000</v>
      </c>
      <c r="BA74" s="441">
        <v>450000</v>
      </c>
      <c r="BB74" s="441">
        <v>450000</v>
      </c>
      <c r="BC74" s="441">
        <v>450000</v>
      </c>
      <c r="BD74" s="440">
        <f t="shared" si="57"/>
        <v>450000</v>
      </c>
      <c r="BE74" s="1008">
        <v>600000</v>
      </c>
      <c r="BF74" s="1008">
        <v>600000</v>
      </c>
      <c r="BG74" s="1008">
        <v>600000</v>
      </c>
      <c r="BH74" s="361"/>
    </row>
    <row r="75" spans="1:60" s="356" customFormat="1" hidden="1" outlineLevel="1" x14ac:dyDescent="0.25">
      <c r="A75" s="526" t="s">
        <v>652</v>
      </c>
      <c r="B75" s="577"/>
      <c r="C75" s="440"/>
      <c r="D75" s="440"/>
      <c r="E75" s="440"/>
      <c r="F75" s="440"/>
      <c r="G75" s="439"/>
      <c r="H75" s="439"/>
      <c r="I75" s="439"/>
      <c r="J75" s="439"/>
      <c r="K75" s="440"/>
      <c r="L75" s="439"/>
      <c r="M75" s="439"/>
      <c r="N75" s="439"/>
      <c r="O75" s="439"/>
      <c r="P75" s="440"/>
      <c r="Q75" s="439"/>
      <c r="R75" s="439"/>
      <c r="S75" s="439"/>
      <c r="T75" s="439"/>
      <c r="U75" s="440"/>
      <c r="V75" s="439"/>
      <c r="W75" s="439"/>
      <c r="X75" s="439"/>
      <c r="Y75" s="439"/>
      <c r="Z75" s="440"/>
      <c r="AA75" s="439"/>
      <c r="AB75" s="439"/>
      <c r="AC75" s="439"/>
      <c r="AD75" s="439"/>
      <c r="AE75" s="440"/>
      <c r="AF75" s="439"/>
      <c r="AG75" s="439"/>
      <c r="AH75" s="439"/>
      <c r="AI75" s="439"/>
      <c r="AJ75" s="440"/>
      <c r="AK75" s="439"/>
      <c r="AL75" s="439"/>
      <c r="AM75" s="439"/>
      <c r="AN75" s="439"/>
      <c r="AO75" s="440"/>
      <c r="AP75" s="439"/>
      <c r="AQ75" s="439"/>
      <c r="AR75" s="439"/>
      <c r="AS75" s="439"/>
      <c r="AT75" s="440"/>
      <c r="AU75" s="439"/>
      <c r="AV75" s="439"/>
      <c r="AW75" s="726"/>
      <c r="AX75" s="439"/>
      <c r="AY75" s="440"/>
      <c r="AZ75" s="441">
        <v>500000</v>
      </c>
      <c r="BA75" s="441">
        <v>500000</v>
      </c>
      <c r="BB75" s="441">
        <v>500000</v>
      </c>
      <c r="BC75" s="441">
        <v>500000</v>
      </c>
      <c r="BD75" s="440">
        <f t="shared" si="57"/>
        <v>500000</v>
      </c>
      <c r="BE75" s="1008">
        <v>650000</v>
      </c>
      <c r="BF75" s="1008">
        <v>750000</v>
      </c>
      <c r="BG75" s="1008">
        <v>850000</v>
      </c>
      <c r="BH75" s="361"/>
    </row>
    <row r="76" spans="1:60" s="356" customFormat="1" hidden="1" outlineLevel="1" x14ac:dyDescent="0.25">
      <c r="A76" s="526" t="s">
        <v>653</v>
      </c>
      <c r="B76" s="577"/>
      <c r="C76" s="440"/>
      <c r="D76" s="440"/>
      <c r="E76" s="440"/>
      <c r="F76" s="440"/>
      <c r="G76" s="439"/>
      <c r="H76" s="439"/>
      <c r="I76" s="439"/>
      <c r="J76" s="439"/>
      <c r="K76" s="440"/>
      <c r="L76" s="439"/>
      <c r="M76" s="439"/>
      <c r="N76" s="439"/>
      <c r="O76" s="439"/>
      <c r="P76" s="440"/>
      <c r="Q76" s="439"/>
      <c r="R76" s="439"/>
      <c r="S76" s="439"/>
      <c r="T76" s="439"/>
      <c r="U76" s="440"/>
      <c r="V76" s="439"/>
      <c r="W76" s="439"/>
      <c r="X76" s="439"/>
      <c r="Y76" s="439"/>
      <c r="Z76" s="440"/>
      <c r="AA76" s="439"/>
      <c r="AB76" s="439"/>
      <c r="AC76" s="439"/>
      <c r="AD76" s="439"/>
      <c r="AE76" s="440"/>
      <c r="AF76" s="439"/>
      <c r="AG76" s="439"/>
      <c r="AH76" s="439"/>
      <c r="AI76" s="439"/>
      <c r="AJ76" s="440"/>
      <c r="AK76" s="439"/>
      <c r="AL76" s="439"/>
      <c r="AM76" s="439"/>
      <c r="AN76" s="439"/>
      <c r="AO76" s="440"/>
      <c r="AP76" s="439"/>
      <c r="AQ76" s="439"/>
      <c r="AR76" s="439"/>
      <c r="AS76" s="439"/>
      <c r="AT76" s="440"/>
      <c r="AU76" s="439"/>
      <c r="AV76" s="439"/>
      <c r="AW76" s="726"/>
      <c r="AX76" s="439"/>
      <c r="AY76" s="440"/>
      <c r="AZ76" s="441">
        <v>500000</v>
      </c>
      <c r="BA76" s="441">
        <v>500000</v>
      </c>
      <c r="BB76" s="441">
        <v>500000</v>
      </c>
      <c r="BC76" s="441">
        <v>500000</v>
      </c>
      <c r="BD76" s="440">
        <f t="shared" si="57"/>
        <v>500000</v>
      </c>
      <c r="BE76" s="1008">
        <v>700000</v>
      </c>
      <c r="BF76" s="1008">
        <v>800000</v>
      </c>
      <c r="BG76" s="1008">
        <v>900000</v>
      </c>
      <c r="BH76" s="361"/>
    </row>
    <row r="77" spans="1:60" s="356" customFormat="1" hidden="1" outlineLevel="1" x14ac:dyDescent="0.25">
      <c r="A77" s="526" t="s">
        <v>649</v>
      </c>
      <c r="B77" s="577"/>
      <c r="C77" s="440"/>
      <c r="D77" s="440"/>
      <c r="E77" s="440"/>
      <c r="F77" s="440"/>
      <c r="G77" s="439"/>
      <c r="H77" s="439"/>
      <c r="I77" s="439"/>
      <c r="J77" s="439"/>
      <c r="K77" s="440"/>
      <c r="L77" s="439"/>
      <c r="M77" s="439"/>
      <c r="N77" s="439"/>
      <c r="O77" s="439"/>
      <c r="P77" s="440"/>
      <c r="Q77" s="439"/>
      <c r="R77" s="439"/>
      <c r="S77" s="439"/>
      <c r="T77" s="439"/>
      <c r="U77" s="440"/>
      <c r="V77" s="439"/>
      <c r="W77" s="439"/>
      <c r="X77" s="439"/>
      <c r="Y77" s="439"/>
      <c r="Z77" s="440"/>
      <c r="AA77" s="439"/>
      <c r="AB77" s="439"/>
      <c r="AC77" s="439"/>
      <c r="AD77" s="439"/>
      <c r="AE77" s="440"/>
      <c r="AF77" s="439"/>
      <c r="AG77" s="439"/>
      <c r="AH77" s="439"/>
      <c r="AI77" s="439"/>
      <c r="AJ77" s="440"/>
      <c r="AK77" s="439"/>
      <c r="AL77" s="439"/>
      <c r="AM77" s="439"/>
      <c r="AN77" s="439"/>
      <c r="AO77" s="440"/>
      <c r="AP77" s="439"/>
      <c r="AQ77" s="439"/>
      <c r="AR77" s="439"/>
      <c r="AS77" s="439"/>
      <c r="AT77" s="440"/>
      <c r="AU77" s="439"/>
      <c r="AV77" s="439"/>
      <c r="AW77" s="726"/>
      <c r="AX77" s="439"/>
      <c r="AY77" s="440"/>
      <c r="AZ77" s="439"/>
      <c r="BA77" s="439"/>
      <c r="BB77" s="439"/>
      <c r="BC77" s="439"/>
      <c r="BD77" s="440"/>
      <c r="BE77" s="1008">
        <v>200000</v>
      </c>
      <c r="BF77" s="1008">
        <v>250000</v>
      </c>
      <c r="BG77" s="1008">
        <v>300000</v>
      </c>
      <c r="BH77" s="361"/>
    </row>
    <row r="78" spans="1:60" s="116" customFormat="1" hidden="1" outlineLevel="1" x14ac:dyDescent="0.25">
      <c r="A78" s="86" t="s">
        <v>581</v>
      </c>
      <c r="B78" s="636"/>
      <c r="C78" s="45"/>
      <c r="D78" s="45"/>
      <c r="E78" s="45"/>
      <c r="F78" s="45"/>
      <c r="G78" s="44"/>
      <c r="H78" s="44"/>
      <c r="I78" s="44"/>
      <c r="J78" s="44"/>
      <c r="K78" s="45"/>
      <c r="L78" s="44"/>
      <c r="M78" s="44"/>
      <c r="N78" s="44"/>
      <c r="O78" s="44"/>
      <c r="P78" s="45"/>
      <c r="Q78" s="44"/>
      <c r="R78" s="44"/>
      <c r="S78" s="44"/>
      <c r="T78" s="44"/>
      <c r="U78" s="45"/>
      <c r="V78" s="44"/>
      <c r="W78" s="44"/>
      <c r="X78" s="44"/>
      <c r="Y78" s="44"/>
      <c r="Z78" s="45"/>
      <c r="AA78" s="44"/>
      <c r="AB78" s="44"/>
      <c r="AC78" s="44"/>
      <c r="AD78" s="44"/>
      <c r="AE78" s="45"/>
      <c r="AF78" s="44"/>
      <c r="AG78" s="44"/>
      <c r="AH78" s="44"/>
      <c r="AI78" s="44"/>
      <c r="AJ78" s="45"/>
      <c r="AK78" s="44"/>
      <c r="AL78" s="44"/>
      <c r="AM78" s="31">
        <f t="shared" ref="AM78:BG78" si="58">SUM(AM72:AM77)</f>
        <v>590000</v>
      </c>
      <c r="AN78" s="30">
        <f t="shared" si="58"/>
        <v>640000</v>
      </c>
      <c r="AO78" s="29">
        <f t="shared" si="58"/>
        <v>640000</v>
      </c>
      <c r="AP78" s="30">
        <f t="shared" si="58"/>
        <v>690000</v>
      </c>
      <c r="AQ78" s="31">
        <f t="shared" si="58"/>
        <v>690000</v>
      </c>
      <c r="AR78" s="31">
        <f t="shared" si="58"/>
        <v>840000</v>
      </c>
      <c r="AS78" s="30">
        <f t="shared" si="58"/>
        <v>1050000</v>
      </c>
      <c r="AT78" s="29">
        <f t="shared" si="58"/>
        <v>1050000</v>
      </c>
      <c r="AU78" s="30">
        <f t="shared" si="58"/>
        <v>1050000</v>
      </c>
      <c r="AV78" s="31">
        <f t="shared" si="58"/>
        <v>1050000</v>
      </c>
      <c r="AW78" s="795">
        <f t="shared" si="58"/>
        <v>1050000</v>
      </c>
      <c r="AX78" s="44">
        <f t="shared" si="58"/>
        <v>1050000</v>
      </c>
      <c r="AY78" s="45">
        <f t="shared" si="58"/>
        <v>1050000</v>
      </c>
      <c r="AZ78" s="44">
        <f t="shared" si="58"/>
        <v>2070000</v>
      </c>
      <c r="BA78" s="44">
        <f t="shared" si="58"/>
        <v>2070000</v>
      </c>
      <c r="BB78" s="44">
        <f t="shared" si="58"/>
        <v>2070000</v>
      </c>
      <c r="BC78" s="44">
        <f t="shared" si="58"/>
        <v>2070000</v>
      </c>
      <c r="BD78" s="45">
        <f t="shared" si="58"/>
        <v>2070000</v>
      </c>
      <c r="BE78" s="45">
        <f t="shared" si="58"/>
        <v>2870000</v>
      </c>
      <c r="BF78" s="45">
        <f t="shared" si="58"/>
        <v>3130000</v>
      </c>
      <c r="BG78" s="45">
        <f t="shared" si="58"/>
        <v>3390000</v>
      </c>
      <c r="BH78" s="368"/>
    </row>
    <row r="79" spans="1:60" s="116" customFormat="1" hidden="1" outlineLevel="1" x14ac:dyDescent="0.25">
      <c r="A79" s="530"/>
      <c r="B79" s="637"/>
      <c r="C79" s="438"/>
      <c r="D79" s="438"/>
      <c r="E79" s="438"/>
      <c r="F79" s="438"/>
      <c r="G79" s="437"/>
      <c r="H79" s="437"/>
      <c r="I79" s="437"/>
      <c r="J79" s="437"/>
      <c r="K79" s="438"/>
      <c r="L79" s="437"/>
      <c r="M79" s="437"/>
      <c r="N79" s="437"/>
      <c r="O79" s="437"/>
      <c r="P79" s="438"/>
      <c r="Q79" s="437"/>
      <c r="R79" s="437"/>
      <c r="S79" s="437"/>
      <c r="T79" s="437"/>
      <c r="U79" s="438"/>
      <c r="V79" s="437"/>
      <c r="W79" s="437"/>
      <c r="X79" s="437"/>
      <c r="Y79" s="437"/>
      <c r="Z79" s="438"/>
      <c r="AA79" s="437"/>
      <c r="AB79" s="437"/>
      <c r="AC79" s="437"/>
      <c r="AD79" s="437"/>
      <c r="AE79" s="438"/>
      <c r="AF79" s="437"/>
      <c r="AG79" s="437"/>
      <c r="AH79" s="437"/>
      <c r="AI79" s="437"/>
      <c r="AJ79" s="438"/>
      <c r="AK79" s="437"/>
      <c r="AL79" s="437"/>
      <c r="AM79" s="437"/>
      <c r="AN79" s="437"/>
      <c r="AO79" s="438"/>
      <c r="AP79" s="437"/>
      <c r="AQ79" s="437"/>
      <c r="AR79" s="437"/>
      <c r="AS79" s="437"/>
      <c r="AT79" s="438"/>
      <c r="AU79" s="437"/>
      <c r="AV79" s="437"/>
      <c r="AW79" s="725"/>
      <c r="AX79" s="437"/>
      <c r="AY79" s="438"/>
      <c r="AZ79" s="437"/>
      <c r="BA79" s="437"/>
      <c r="BB79" s="437"/>
      <c r="BC79" s="437"/>
      <c r="BD79" s="438"/>
      <c r="BE79" s="438"/>
      <c r="BF79" s="438"/>
      <c r="BG79" s="438"/>
      <c r="BH79" s="368"/>
    </row>
    <row r="80" spans="1:60" s="120" customFormat="1" hidden="1" outlineLevel="1" x14ac:dyDescent="0.25">
      <c r="A80" s="223" t="s">
        <v>523</v>
      </c>
      <c r="B80" s="639"/>
      <c r="C80" s="100"/>
      <c r="D80" s="100"/>
      <c r="E80" s="100"/>
      <c r="F80" s="100"/>
      <c r="G80" s="1005"/>
      <c r="H80" s="1005"/>
      <c r="I80" s="1005"/>
      <c r="J80" s="1005"/>
      <c r="K80" s="100"/>
      <c r="L80" s="1005"/>
      <c r="M80" s="1005"/>
      <c r="N80" s="1005"/>
      <c r="O80" s="1005"/>
      <c r="P80" s="100"/>
      <c r="Q80" s="1005"/>
      <c r="R80" s="1005"/>
      <c r="S80" s="1005"/>
      <c r="T80" s="1005"/>
      <c r="U80" s="100"/>
      <c r="V80" s="1005"/>
      <c r="W80" s="1005"/>
      <c r="X80" s="1005"/>
      <c r="Y80" s="1005"/>
      <c r="Z80" s="100"/>
      <c r="AA80" s="1005"/>
      <c r="AB80" s="1005"/>
      <c r="AC80" s="1005"/>
      <c r="AD80" s="1005"/>
      <c r="AE80" s="100"/>
      <c r="AF80" s="1005"/>
      <c r="AG80" s="1005"/>
      <c r="AH80" s="1005"/>
      <c r="AI80" s="1005"/>
      <c r="AJ80" s="100"/>
      <c r="AK80" s="1005"/>
      <c r="AL80" s="1005"/>
      <c r="AM80" s="366">
        <f>AM54*4/AM72</f>
        <v>0.72524444444444447</v>
      </c>
      <c r="AN80" s="366">
        <f>AN54*4/AN72</f>
        <v>0.79702222222222219</v>
      </c>
      <c r="AO80" s="93">
        <f>AO54/AO72</f>
        <v>0.69923333333333337</v>
      </c>
      <c r="AP80" s="366">
        <f>AP54*4/AP72</f>
        <v>0.68400000000000005</v>
      </c>
      <c r="AQ80" s="367">
        <f>AQ54*4/AQ72</f>
        <v>0.28115555555555555</v>
      </c>
      <c r="AR80" s="366">
        <f>AR54*4/AR72</f>
        <v>0.75519999999999998</v>
      </c>
      <c r="AS80" s="366">
        <f>AS54*4/AS72</f>
        <v>0.64388000000000001</v>
      </c>
      <c r="AT80" s="93">
        <f>AT54/AT72</f>
        <v>0.54805000000000004</v>
      </c>
      <c r="AU80" s="366">
        <f>AU54*4/AU72</f>
        <v>0</v>
      </c>
      <c r="AV80" s="367">
        <f>AV54*4/AV72</f>
        <v>9.3600000000000003E-2</v>
      </c>
      <c r="AW80" s="843">
        <f>AW54*4/AW72</f>
        <v>0.35764000000000001</v>
      </c>
      <c r="AX80" s="1005">
        <f>AX54*4/AX72</f>
        <v>0.52436000000000005</v>
      </c>
      <c r="AY80" s="100">
        <f>AY54/AY72</f>
        <v>0.24390000000000001</v>
      </c>
      <c r="AZ80" s="1005">
        <f>AZ54*4/AZ72</f>
        <v>0.41031746031746036</v>
      </c>
      <c r="BA80" s="1005">
        <f>BA54*4/BA72</f>
        <v>0.49545833333333339</v>
      </c>
      <c r="BB80" s="1005">
        <f>BB54*4/BB72</f>
        <v>0.56977708333333332</v>
      </c>
      <c r="BC80" s="1005">
        <f>BC54*4/BC72</f>
        <v>0.65524364583333328</v>
      </c>
      <c r="BD80" s="100">
        <f>BD54/BD72</f>
        <v>0.53269913070436514</v>
      </c>
      <c r="BE80" s="100">
        <f>BE54/BE72</f>
        <v>0.62274832510964917</v>
      </c>
      <c r="BF80" s="100">
        <f>BF54/BF72</f>
        <v>0.63232906857287463</v>
      </c>
      <c r="BG80" s="100">
        <f>BG54/BG72</f>
        <v>0.64587897718515042</v>
      </c>
      <c r="BH80" s="366"/>
    </row>
    <row r="81" spans="1:60" s="120" customFormat="1" hidden="1" outlineLevel="1" x14ac:dyDescent="0.25">
      <c r="A81" s="223" t="s">
        <v>524</v>
      </c>
      <c r="B81" s="639"/>
      <c r="C81" s="100"/>
      <c r="D81" s="100"/>
      <c r="E81" s="100"/>
      <c r="F81" s="100"/>
      <c r="G81" s="1005"/>
      <c r="H81" s="1005"/>
      <c r="I81" s="1005"/>
      <c r="J81" s="1005"/>
      <c r="K81" s="100"/>
      <c r="L81" s="1005"/>
      <c r="M81" s="1005"/>
      <c r="N81" s="1005"/>
      <c r="O81" s="1005"/>
      <c r="P81" s="100"/>
      <c r="Q81" s="1005"/>
      <c r="R81" s="1005"/>
      <c r="S81" s="1005"/>
      <c r="T81" s="1005"/>
      <c r="U81" s="100"/>
      <c r="V81" s="1005"/>
      <c r="W81" s="1005"/>
      <c r="X81" s="1005"/>
      <c r="Y81" s="1005"/>
      <c r="Z81" s="100"/>
      <c r="AA81" s="1005"/>
      <c r="AB81" s="1005"/>
      <c r="AC81" s="1005"/>
      <c r="AD81" s="1005"/>
      <c r="AE81" s="100"/>
      <c r="AF81" s="1005"/>
      <c r="AG81" s="1005"/>
      <c r="AH81" s="1005"/>
      <c r="AI81" s="1005"/>
      <c r="AJ81" s="100"/>
      <c r="AK81" s="1005"/>
      <c r="AL81" s="1005"/>
      <c r="AM81" s="366">
        <f>AM57*4/(AM73+AM74+AM75+AM76)</f>
        <v>0.63869600000000004</v>
      </c>
      <c r="AN81" s="366">
        <f>AN57*4/(AN73+AN74+AN75+AN76)</f>
        <v>0.6324218181818182</v>
      </c>
      <c r="AO81" s="93">
        <f>AO57/(AO73+AO74+AO75+AO76)</f>
        <v>0.5496381818181818</v>
      </c>
      <c r="AP81" s="366">
        <f>AP57*4/(AP73+AP74+AP75+AP76)</f>
        <v>0.58187999999999995</v>
      </c>
      <c r="AQ81" s="367">
        <f>AQ57*4/(AQ73+AQ74+AQ75+AQ76)</f>
        <v>0.50630666666666668</v>
      </c>
      <c r="AR81" s="366">
        <f>AR57*4/(AR73+AR74+AR75+AR76)</f>
        <v>0.68290133333333336</v>
      </c>
      <c r="AS81" s="366">
        <f>AS57*4/(AS73+AS74+AS75+AS76)</f>
        <v>0.68909473684210532</v>
      </c>
      <c r="AT81" s="93">
        <f>AT57/(AT73+AT74+AT75+AT76)</f>
        <v>0.4788757894736842</v>
      </c>
      <c r="AU81" s="366">
        <f>AU57*4/(AU73+AU74+AU75+AU76)</f>
        <v>0.75931789473684208</v>
      </c>
      <c r="AV81" s="367">
        <f>AV57*4/(AV73+AV74+AV75+AV76)</f>
        <v>0.85928842105263159</v>
      </c>
      <c r="AW81" s="843">
        <f>AW57*4/(AW73+AW74+AW75+AW76)</f>
        <v>0.96371368421052628</v>
      </c>
      <c r="AX81" s="1005">
        <f>AX57*4/(AX73+AX74+AX75+AX76)</f>
        <v>1.2325515789473684</v>
      </c>
      <c r="AY81" s="100">
        <f>AY57/(AY73+AY74+AY75+AY76)</f>
        <v>0.9537178947368421</v>
      </c>
      <c r="AZ81" s="1005">
        <f>AZ57*4/(AZ73+AZ74+AZ75+AZ76)</f>
        <v>0.70026153846153849</v>
      </c>
      <c r="BA81" s="1005">
        <f>BA57*4/(BA73+BA74+BA75+BA76)</f>
        <v>0.8053007692307691</v>
      </c>
      <c r="BB81" s="1005">
        <f>BB57*4/(BB73+BB74+BB75+BB76)</f>
        <v>0.92609588461538439</v>
      </c>
      <c r="BC81" s="1005">
        <f>BC57*4/(BC73+BC74+BC75+BC76)</f>
        <v>1.065010267307692</v>
      </c>
      <c r="BD81" s="100">
        <f>BD57/(BD73+BD74+BD75+BD76)</f>
        <v>0.87416711490384602</v>
      </c>
      <c r="BE81" s="100">
        <f>BE57/(BE73+BE74+BE75+BE76)</f>
        <v>0.76875284516544096</v>
      </c>
      <c r="BF81" s="100">
        <f>BF57/(BF73+BF74+BF75+BF76)</f>
        <v>0.81977007943551106</v>
      </c>
      <c r="BG81" s="100">
        <f>BG57/(BG73+BG74+BG75+BG76)</f>
        <v>0.87882131397111984</v>
      </c>
      <c r="BH81" s="366"/>
    </row>
    <row r="82" spans="1:60" s="120" customFormat="1" hidden="1" outlineLevel="1" x14ac:dyDescent="0.25">
      <c r="A82" s="223" t="s">
        <v>648</v>
      </c>
      <c r="B82" s="639"/>
      <c r="C82" s="100"/>
      <c r="D82" s="100"/>
      <c r="E82" s="100"/>
      <c r="F82" s="100"/>
      <c r="G82" s="1005"/>
      <c r="H82" s="1005"/>
      <c r="I82" s="1005"/>
      <c r="J82" s="1005"/>
      <c r="K82" s="100"/>
      <c r="L82" s="1005"/>
      <c r="M82" s="1005"/>
      <c r="N82" s="1005"/>
      <c r="O82" s="1005"/>
      <c r="P82" s="100"/>
      <c r="Q82" s="1005"/>
      <c r="R82" s="1005"/>
      <c r="S82" s="1005"/>
      <c r="T82" s="1005"/>
      <c r="U82" s="100"/>
      <c r="V82" s="1005"/>
      <c r="W82" s="1005"/>
      <c r="X82" s="1005"/>
      <c r="Y82" s="1005"/>
      <c r="Z82" s="100"/>
      <c r="AA82" s="1005"/>
      <c r="AB82" s="1005"/>
      <c r="AC82" s="1005"/>
      <c r="AD82" s="1005"/>
      <c r="AE82" s="100"/>
      <c r="AF82" s="1005"/>
      <c r="AG82" s="1005"/>
      <c r="AH82" s="1005"/>
      <c r="AI82" s="1005"/>
      <c r="AJ82" s="100"/>
      <c r="AK82" s="1005"/>
      <c r="AL82" s="1005"/>
      <c r="AM82" s="1005"/>
      <c r="AN82" s="1005"/>
      <c r="AO82" s="100"/>
      <c r="AP82" s="1005"/>
      <c r="AQ82" s="1005"/>
      <c r="AR82" s="1005"/>
      <c r="AS82" s="1005"/>
      <c r="AT82" s="100"/>
      <c r="AU82" s="1005"/>
      <c r="AV82" s="1005"/>
      <c r="AW82" s="727"/>
      <c r="AX82" s="1005"/>
      <c r="AY82" s="100"/>
      <c r="AZ82" s="1005"/>
      <c r="BA82" s="1005"/>
      <c r="BB82" s="1005"/>
      <c r="BC82" s="1005"/>
      <c r="BD82" s="100"/>
      <c r="BE82" s="100">
        <f>BE60/BE77</f>
        <v>9.5238095238095233E-2</v>
      </c>
      <c r="BF82" s="100">
        <f>BF60/BF77</f>
        <v>8.7999999999999995E-2</v>
      </c>
      <c r="BG82" s="100">
        <f>BG60/BG77</f>
        <v>8.4912280701754397E-2</v>
      </c>
      <c r="BH82" s="366"/>
    </row>
    <row r="83" spans="1:60" s="116" customFormat="1" collapsed="1" x14ac:dyDescent="0.25">
      <c r="A83" s="530"/>
      <c r="B83" s="637"/>
      <c r="C83" s="438"/>
      <c r="D83" s="438"/>
      <c r="E83" s="438"/>
      <c r="F83" s="438"/>
      <c r="G83" s="437"/>
      <c r="H83" s="437"/>
      <c r="I83" s="437"/>
      <c r="J83" s="437"/>
      <c r="K83" s="438"/>
      <c r="L83" s="437"/>
      <c r="M83" s="437"/>
      <c r="N83" s="437"/>
      <c r="O83" s="437"/>
      <c r="P83" s="438"/>
      <c r="Q83" s="437"/>
      <c r="R83" s="437"/>
      <c r="S83" s="437"/>
      <c r="T83" s="437"/>
      <c r="U83" s="438"/>
      <c r="V83" s="437"/>
      <c r="W83" s="437"/>
      <c r="X83" s="437"/>
      <c r="Y83" s="437"/>
      <c r="Z83" s="438"/>
      <c r="AA83" s="437"/>
      <c r="AB83" s="437"/>
      <c r="AC83" s="437"/>
      <c r="AD83" s="437"/>
      <c r="AE83" s="438"/>
      <c r="AF83" s="437"/>
      <c r="AG83" s="437"/>
      <c r="AH83" s="437"/>
      <c r="AI83" s="437"/>
      <c r="AJ83" s="438"/>
      <c r="AK83" s="437"/>
      <c r="AL83" s="437"/>
      <c r="AM83" s="437"/>
      <c r="AN83" s="437"/>
      <c r="AO83" s="438"/>
      <c r="AP83" s="437"/>
      <c r="AQ83" s="437"/>
      <c r="AR83" s="437"/>
      <c r="AS83" s="437"/>
      <c r="AT83" s="438"/>
      <c r="AU83" s="437"/>
      <c r="AV83" s="437"/>
      <c r="AW83" s="725"/>
      <c r="AX83" s="437"/>
      <c r="AY83" s="438"/>
      <c r="AZ83" s="437"/>
      <c r="BA83" s="437"/>
      <c r="BB83" s="437"/>
      <c r="BC83" s="437"/>
      <c r="BD83" s="438"/>
      <c r="BE83" s="438"/>
      <c r="BF83" s="438"/>
      <c r="BG83" s="438"/>
      <c r="BH83" s="368"/>
    </row>
    <row r="84" spans="1:60" s="112" customFormat="1" x14ac:dyDescent="0.25">
      <c r="A84" s="1020" t="s">
        <v>634</v>
      </c>
      <c r="B84" s="1020"/>
      <c r="C84" s="1043"/>
      <c r="D84" s="1043"/>
      <c r="E84" s="1043"/>
      <c r="F84" s="1043"/>
      <c r="G84" s="1043"/>
      <c r="H84" s="1043"/>
      <c r="I84" s="1043"/>
      <c r="J84" s="1043"/>
      <c r="K84" s="1043"/>
      <c r="L84" s="1043"/>
      <c r="M84" s="1043"/>
      <c r="N84" s="1043"/>
      <c r="O84" s="1043"/>
      <c r="P84" s="1043"/>
      <c r="Q84" s="1043"/>
      <c r="R84" s="1043"/>
      <c r="S84" s="1043"/>
      <c r="T84" s="1043"/>
      <c r="U84" s="1043"/>
      <c r="V84" s="1043"/>
      <c r="W84" s="1043"/>
      <c r="X84" s="1043"/>
      <c r="Y84" s="1043"/>
      <c r="Z84" s="1043"/>
      <c r="AA84" s="1043"/>
      <c r="AB84" s="1043"/>
      <c r="AC84" s="1043"/>
      <c r="AD84" s="1043"/>
      <c r="AE84" s="1043"/>
      <c r="AF84" s="1043"/>
      <c r="AG84" s="1043"/>
      <c r="AH84" s="1043"/>
      <c r="AI84" s="1043"/>
      <c r="AJ84" s="1043"/>
      <c r="AK84" s="1043"/>
      <c r="AL84" s="1043"/>
      <c r="AM84" s="1043"/>
      <c r="AN84" s="1043"/>
      <c r="AO84" s="1043"/>
      <c r="AP84" s="1043"/>
      <c r="AQ84" s="1043"/>
      <c r="AR84" s="1043"/>
      <c r="AS84" s="1043"/>
      <c r="AT84" s="1043"/>
      <c r="AU84" s="1043"/>
      <c r="AV84" s="1043"/>
      <c r="AW84" s="1044"/>
      <c r="AX84" s="1043"/>
      <c r="AY84" s="1043"/>
      <c r="AZ84" s="1043"/>
      <c r="BA84" s="1043"/>
      <c r="BB84" s="1043"/>
      <c r="BC84" s="1043"/>
      <c r="BD84" s="1043"/>
      <c r="BE84" s="1043"/>
      <c r="BF84" s="1043"/>
      <c r="BG84" s="1043"/>
      <c r="BH84" s="1034"/>
    </row>
    <row r="85" spans="1:60" s="356" customFormat="1" hidden="1" outlineLevel="1" x14ac:dyDescent="0.25">
      <c r="A85" s="580" t="s">
        <v>602</v>
      </c>
      <c r="B85" s="577"/>
      <c r="C85" s="440"/>
      <c r="D85" s="440"/>
      <c r="E85" s="440"/>
      <c r="F85" s="440"/>
      <c r="G85" s="439"/>
      <c r="H85" s="439"/>
      <c r="I85" s="439"/>
      <c r="J85" s="439"/>
      <c r="K85" s="440"/>
      <c r="L85" s="439"/>
      <c r="M85" s="439"/>
      <c r="N85" s="439"/>
      <c r="O85" s="439"/>
      <c r="P85" s="440"/>
      <c r="Q85" s="439"/>
      <c r="R85" s="439"/>
      <c r="S85" s="439"/>
      <c r="T85" s="439"/>
      <c r="U85" s="440"/>
      <c r="V85" s="439"/>
      <c r="W85" s="439"/>
      <c r="X85" s="439"/>
      <c r="Y85" s="439"/>
      <c r="Z85" s="440"/>
      <c r="AA85" s="439"/>
      <c r="AB85" s="439"/>
      <c r="AC85" s="439"/>
      <c r="AD85" s="439"/>
      <c r="AE85" s="440"/>
      <c r="AF85" s="439"/>
      <c r="AG85" s="36">
        <v>30</v>
      </c>
      <c r="AH85" s="36">
        <v>31</v>
      </c>
      <c r="AI85" s="361">
        <v>19</v>
      </c>
      <c r="AJ85" s="35">
        <f>AI85</f>
        <v>19</v>
      </c>
      <c r="AK85" s="361">
        <v>30</v>
      </c>
      <c r="AL85" s="36">
        <v>18</v>
      </c>
      <c r="AM85" s="36">
        <v>17</v>
      </c>
      <c r="AN85" s="361">
        <v>11</v>
      </c>
      <c r="AO85" s="35">
        <f>AN85</f>
        <v>11</v>
      </c>
      <c r="AP85" s="361">
        <v>25</v>
      </c>
      <c r="AQ85" s="36">
        <v>17</v>
      </c>
      <c r="AR85" s="36">
        <v>14</v>
      </c>
      <c r="AS85" s="361">
        <v>11</v>
      </c>
      <c r="AT85" s="35">
        <f>AS85</f>
        <v>11</v>
      </c>
      <c r="AU85" s="361">
        <v>8</v>
      </c>
      <c r="AV85" s="36">
        <v>9</v>
      </c>
      <c r="AW85" s="792">
        <v>6</v>
      </c>
      <c r="AX85" s="439"/>
      <c r="AY85" s="440"/>
      <c r="AZ85" s="439"/>
      <c r="BA85" s="439"/>
      <c r="BB85" s="439"/>
      <c r="BC85" s="439"/>
      <c r="BD85" s="440"/>
      <c r="BE85" s="440"/>
      <c r="BF85" s="440"/>
      <c r="BG85" s="440"/>
      <c r="BH85" s="361"/>
    </row>
    <row r="86" spans="1:60" s="356" customFormat="1" ht="7.5" hidden="1" customHeight="1" outlineLevel="1" x14ac:dyDescent="0.25">
      <c r="A86" s="554"/>
      <c r="B86" s="577"/>
      <c r="C86" s="440"/>
      <c r="D86" s="440"/>
      <c r="E86" s="440"/>
      <c r="F86" s="440"/>
      <c r="G86" s="439"/>
      <c r="H86" s="439"/>
      <c r="I86" s="439"/>
      <c r="J86" s="439"/>
      <c r="K86" s="440"/>
      <c r="L86" s="439"/>
      <c r="M86" s="439"/>
      <c r="N86" s="439"/>
      <c r="O86" s="439"/>
      <c r="P86" s="440"/>
      <c r="Q86" s="439"/>
      <c r="R86" s="439"/>
      <c r="S86" s="439"/>
      <c r="T86" s="439"/>
      <c r="U86" s="440"/>
      <c r="V86" s="439"/>
      <c r="W86" s="439"/>
      <c r="X86" s="439"/>
      <c r="Y86" s="439"/>
      <c r="Z86" s="440"/>
      <c r="AA86" s="439"/>
      <c r="AB86" s="439"/>
      <c r="AC86" s="439"/>
      <c r="AD86" s="439"/>
      <c r="AE86" s="440"/>
      <c r="AF86" s="439"/>
      <c r="AG86" s="439"/>
      <c r="AH86" s="439"/>
      <c r="AI86" s="439"/>
      <c r="AJ86" s="440"/>
      <c r="AK86" s="439"/>
      <c r="AL86" s="439"/>
      <c r="AM86" s="439"/>
      <c r="AN86" s="439"/>
      <c r="AO86" s="440"/>
      <c r="AP86" s="439"/>
      <c r="AQ86" s="439"/>
      <c r="AR86" s="439"/>
      <c r="AS86" s="439"/>
      <c r="AT86" s="440"/>
      <c r="AU86" s="439"/>
      <c r="AV86" s="439"/>
      <c r="AW86" s="726"/>
      <c r="AX86" s="439"/>
      <c r="AY86" s="440"/>
      <c r="AZ86" s="439"/>
      <c r="BA86" s="439"/>
      <c r="BB86" s="439"/>
      <c r="BC86" s="439"/>
      <c r="BD86" s="440"/>
      <c r="BE86" s="440"/>
      <c r="BF86" s="440"/>
      <c r="BG86" s="440"/>
      <c r="BH86" s="361"/>
    </row>
    <row r="87" spans="1:60" s="116" customFormat="1" hidden="1" outlineLevel="2" x14ac:dyDescent="0.25">
      <c r="A87" s="949" t="s">
        <v>776</v>
      </c>
      <c r="B87" s="637"/>
      <c r="C87" s="438"/>
      <c r="D87" s="33">
        <v>1500</v>
      </c>
      <c r="E87" s="33">
        <f>2150-D87</f>
        <v>650</v>
      </c>
      <c r="F87" s="33">
        <f>2650-2150</f>
        <v>500</v>
      </c>
      <c r="G87" s="437"/>
      <c r="H87" s="437"/>
      <c r="I87" s="437"/>
      <c r="J87" s="437"/>
      <c r="K87" s="438"/>
      <c r="L87" s="437"/>
      <c r="M87" s="437"/>
      <c r="N87" s="437"/>
      <c r="O87" s="437"/>
      <c r="P87" s="438"/>
      <c r="Q87" s="437"/>
      <c r="R87" s="437"/>
      <c r="S87" s="437"/>
      <c r="T87" s="437"/>
      <c r="U87" s="438"/>
      <c r="V87" s="437"/>
      <c r="W87" s="437"/>
      <c r="X87" s="437"/>
      <c r="Y87" s="437"/>
      <c r="Z87" s="438"/>
      <c r="AA87" s="437"/>
      <c r="AB87" s="437"/>
      <c r="AC87" s="437"/>
      <c r="AD87" s="437"/>
      <c r="AE87" s="438"/>
      <c r="AF87" s="437"/>
      <c r="AG87" s="437"/>
      <c r="AH87" s="437"/>
      <c r="AI87" s="437"/>
      <c r="AJ87" s="438"/>
      <c r="AK87" s="437"/>
      <c r="AL87" s="437"/>
      <c r="AM87" s="437"/>
      <c r="AN87" s="437"/>
      <c r="AO87" s="438"/>
      <c r="AP87" s="437"/>
      <c r="AQ87" s="437"/>
      <c r="AR87" s="437"/>
      <c r="AS87" s="437"/>
      <c r="AT87" s="438"/>
      <c r="AU87" s="437"/>
      <c r="AV87" s="437"/>
      <c r="AW87" s="725"/>
      <c r="AX87" s="437"/>
      <c r="AY87" s="438"/>
      <c r="AZ87" s="437"/>
      <c r="BA87" s="437"/>
      <c r="BB87" s="437"/>
      <c r="BC87" s="437"/>
      <c r="BD87" s="438"/>
      <c r="BE87" s="438"/>
      <c r="BF87" s="438"/>
      <c r="BG87" s="438"/>
      <c r="BH87" s="368"/>
    </row>
    <row r="88" spans="1:60" s="113" customFormat="1" hidden="1" outlineLevel="2" x14ac:dyDescent="0.25">
      <c r="A88" s="259" t="s">
        <v>23</v>
      </c>
      <c r="B88" s="577"/>
      <c r="C88" s="440"/>
      <c r="D88" s="440"/>
      <c r="E88" s="440"/>
      <c r="F88" s="440"/>
      <c r="G88" s="439"/>
      <c r="H88" s="439"/>
      <c r="I88" s="439"/>
      <c r="J88" s="439"/>
      <c r="K88" s="440"/>
      <c r="L88" s="439"/>
      <c r="M88" s="439"/>
      <c r="N88" s="439"/>
      <c r="O88" s="439"/>
      <c r="P88" s="440"/>
      <c r="Q88" s="439"/>
      <c r="R88" s="439"/>
      <c r="S88" s="439"/>
      <c r="T88" s="439"/>
      <c r="U88" s="440"/>
      <c r="V88" s="361">
        <v>12420</v>
      </c>
      <c r="W88" s="36">
        <v>9764</v>
      </c>
      <c r="X88" s="36">
        <v>16047</v>
      </c>
      <c r="Y88" s="361">
        <v>12700</v>
      </c>
      <c r="Z88" s="35">
        <f>SUM(V88,W88,X88,Y88)</f>
        <v>50931</v>
      </c>
      <c r="AA88" s="361">
        <v>13450</v>
      </c>
      <c r="AB88" s="36">
        <v>12000</v>
      </c>
      <c r="AC88" s="439"/>
      <c r="AD88" s="439"/>
      <c r="AE88" s="440"/>
      <c r="AF88" s="439"/>
      <c r="AG88" s="439"/>
      <c r="AH88" s="439"/>
      <c r="AI88" s="439"/>
      <c r="AJ88" s="440"/>
      <c r="AK88" s="439"/>
      <c r="AL88" s="439"/>
      <c r="AM88" s="439"/>
      <c r="AN88" s="439"/>
      <c r="AO88" s="440"/>
      <c r="AP88" s="439"/>
      <c r="AQ88" s="439"/>
      <c r="AR88" s="439"/>
      <c r="AS88" s="439"/>
      <c r="AT88" s="440"/>
      <c r="AU88" s="439"/>
      <c r="AV88" s="439"/>
      <c r="AW88" s="726"/>
      <c r="AX88" s="439"/>
      <c r="AY88" s="440"/>
      <c r="AZ88" s="439"/>
      <c r="BA88" s="439"/>
      <c r="BB88" s="439"/>
      <c r="BC88" s="439"/>
      <c r="BD88" s="440"/>
      <c r="BE88" s="440"/>
      <c r="BF88" s="440"/>
      <c r="BG88" s="440"/>
      <c r="BH88" s="361"/>
    </row>
    <row r="89" spans="1:60" s="113" customFormat="1" hidden="1" outlineLevel="2" x14ac:dyDescent="0.25">
      <c r="A89" s="260" t="s">
        <v>24</v>
      </c>
      <c r="B89" s="467"/>
      <c r="C89" s="479"/>
      <c r="D89" s="479"/>
      <c r="E89" s="479"/>
      <c r="F89" s="479"/>
      <c r="G89" s="459"/>
      <c r="H89" s="459"/>
      <c r="I89" s="459"/>
      <c r="J89" s="459"/>
      <c r="K89" s="479"/>
      <c r="L89" s="459"/>
      <c r="M89" s="459"/>
      <c r="N89" s="459"/>
      <c r="O89" s="459"/>
      <c r="P89" s="479"/>
      <c r="Q89" s="459"/>
      <c r="R89" s="459"/>
      <c r="S89" s="459"/>
      <c r="T89" s="459"/>
      <c r="U89" s="479"/>
      <c r="V89" s="262">
        <v>2400</v>
      </c>
      <c r="W89" s="263">
        <v>4638</v>
      </c>
      <c r="X89" s="263">
        <v>8774</v>
      </c>
      <c r="Y89" s="262">
        <v>9500</v>
      </c>
      <c r="Z89" s="261">
        <f>SUM(V89,W89,X89,Y89)</f>
        <v>25312</v>
      </c>
      <c r="AA89" s="262">
        <v>11550</v>
      </c>
      <c r="AB89" s="263">
        <v>10000</v>
      </c>
      <c r="AC89" s="459"/>
      <c r="AD89" s="459"/>
      <c r="AE89" s="479"/>
      <c r="AF89" s="459"/>
      <c r="AG89" s="459"/>
      <c r="AH89" s="459"/>
      <c r="AI89" s="459"/>
      <c r="AJ89" s="479"/>
      <c r="AK89" s="459"/>
      <c r="AL89" s="459"/>
      <c r="AM89" s="459"/>
      <c r="AN89" s="459"/>
      <c r="AO89" s="479"/>
      <c r="AP89" s="459"/>
      <c r="AQ89" s="459"/>
      <c r="AR89" s="459"/>
      <c r="AS89" s="459"/>
      <c r="AT89" s="479"/>
      <c r="AU89" s="459"/>
      <c r="AV89" s="459"/>
      <c r="AW89" s="723"/>
      <c r="AX89" s="459"/>
      <c r="AY89" s="479"/>
      <c r="AZ89" s="459"/>
      <c r="BA89" s="459"/>
      <c r="BB89" s="459"/>
      <c r="BC89" s="459"/>
      <c r="BD89" s="479"/>
      <c r="BE89" s="479"/>
      <c r="BF89" s="479"/>
      <c r="BG89" s="479"/>
      <c r="BH89" s="361"/>
    </row>
    <row r="90" spans="1:60" s="116" customFormat="1" hidden="1" outlineLevel="1" collapsed="1" x14ac:dyDescent="0.25">
      <c r="A90" s="948" t="s">
        <v>778</v>
      </c>
      <c r="B90" s="637"/>
      <c r="C90" s="438"/>
      <c r="D90" s="438"/>
      <c r="E90" s="438"/>
      <c r="F90" s="438">
        <v>2650</v>
      </c>
      <c r="G90" s="437">
        <v>4900</v>
      </c>
      <c r="H90" s="437">
        <v>5150</v>
      </c>
      <c r="I90" s="437">
        <v>5500</v>
      </c>
      <c r="J90" s="437">
        <v>6892</v>
      </c>
      <c r="K90" s="438">
        <v>22442</v>
      </c>
      <c r="L90" s="437">
        <v>6457</v>
      </c>
      <c r="M90" s="437">
        <v>7579</v>
      </c>
      <c r="N90" s="437">
        <v>7785</v>
      </c>
      <c r="O90" s="437">
        <v>9834</v>
      </c>
      <c r="P90" s="438">
        <v>31655</v>
      </c>
      <c r="Q90" s="437">
        <v>10045</v>
      </c>
      <c r="R90" s="437">
        <v>11532</v>
      </c>
      <c r="S90" s="437">
        <v>11603</v>
      </c>
      <c r="T90" s="437">
        <v>17478</v>
      </c>
      <c r="U90" s="438">
        <v>50658</v>
      </c>
      <c r="V90" s="437">
        <f t="shared" ref="V90:AB90" si="59">SUM(V88:V89)</f>
        <v>14820</v>
      </c>
      <c r="W90" s="437">
        <f t="shared" si="59"/>
        <v>14402</v>
      </c>
      <c r="X90" s="437">
        <f t="shared" si="59"/>
        <v>24821</v>
      </c>
      <c r="Y90" s="437">
        <f t="shared" si="59"/>
        <v>22200</v>
      </c>
      <c r="Z90" s="438">
        <f t="shared" si="59"/>
        <v>76243</v>
      </c>
      <c r="AA90" s="437">
        <f t="shared" si="59"/>
        <v>25000</v>
      </c>
      <c r="AB90" s="437">
        <f t="shared" si="59"/>
        <v>22000</v>
      </c>
      <c r="AC90" s="437">
        <v>25915</v>
      </c>
      <c r="AD90" s="437">
        <v>28425</v>
      </c>
      <c r="AE90" s="438">
        <f>SUM(AA90,AB90,AC90,AD90)</f>
        <v>101340</v>
      </c>
      <c r="AF90" s="437">
        <v>21815</v>
      </c>
      <c r="AG90" s="437">
        <v>22319</v>
      </c>
      <c r="AH90" s="437">
        <v>27710</v>
      </c>
      <c r="AI90" s="437">
        <v>27607</v>
      </c>
      <c r="AJ90" s="438">
        <f>SUM(AF90,AG90,AH90,AI90)</f>
        <v>99451</v>
      </c>
      <c r="AK90" s="437">
        <v>12091</v>
      </c>
      <c r="AL90" s="437">
        <v>17722</v>
      </c>
      <c r="AM90" s="437">
        <v>17483</v>
      </c>
      <c r="AN90" s="437">
        <v>19475</v>
      </c>
      <c r="AO90" s="438">
        <f>SUM(AK90,AL90,AM90,AN90)</f>
        <v>66771</v>
      </c>
      <c r="AP90" s="437">
        <v>12230</v>
      </c>
      <c r="AQ90" s="437">
        <v>10614</v>
      </c>
      <c r="AR90" s="437">
        <v>15275</v>
      </c>
      <c r="AS90" s="437">
        <v>18966</v>
      </c>
      <c r="AT90" s="438">
        <f>SUM(AP90,AQ90,AR90,AS90)</f>
        <v>57085</v>
      </c>
      <c r="AU90" s="437">
        <v>2030</v>
      </c>
      <c r="AV90" s="437">
        <v>1895</v>
      </c>
      <c r="AW90" s="725">
        <v>9289</v>
      </c>
      <c r="AX90" s="1003">
        <v>11750</v>
      </c>
      <c r="AY90" s="33">
        <f>SUM(AU90,AV90,AW90,AX90)</f>
        <v>24964</v>
      </c>
      <c r="AZ90" s="368">
        <f>AX90*(1+AZ91)</f>
        <v>12925.000000000002</v>
      </c>
      <c r="BA90" s="368">
        <f>AZ90*(1+BA91)</f>
        <v>14863.750000000002</v>
      </c>
      <c r="BB90" s="368">
        <f>BA90*(1+BB91)</f>
        <v>17093.3125</v>
      </c>
      <c r="BC90" s="368">
        <f>BB90*(1+BC91)</f>
        <v>19657.309374999997</v>
      </c>
      <c r="BD90" s="33">
        <f>SUM(AZ90,BA90,BB90,BC90)</f>
        <v>64539.371874999997</v>
      </c>
      <c r="BE90" s="33">
        <f>BD90*(1+BE92)</f>
        <v>70993.309062500004</v>
      </c>
      <c r="BF90" s="33">
        <f>BE90*(1+BF92)</f>
        <v>78092.639968750009</v>
      </c>
      <c r="BG90" s="33">
        <f>BF90*(1+BG92)</f>
        <v>85901.90396562501</v>
      </c>
      <c r="BH90" s="368"/>
    </row>
    <row r="91" spans="1:60" s="356" customFormat="1" hidden="1" outlineLevel="1" x14ac:dyDescent="0.25">
      <c r="A91" s="946" t="s">
        <v>771</v>
      </c>
      <c r="B91" s="903"/>
      <c r="C91" s="191"/>
      <c r="D91" s="191"/>
      <c r="E91" s="191"/>
      <c r="F91" s="191"/>
      <c r="G91" s="1004"/>
      <c r="H91" s="1004">
        <f>H90/G90-1</f>
        <v>5.1020408163265252E-2</v>
      </c>
      <c r="I91" s="1004">
        <f>I90/H90-1</f>
        <v>6.7961165048543659E-2</v>
      </c>
      <c r="J91" s="1004">
        <f>J90/I90-1</f>
        <v>0.25309090909090903</v>
      </c>
      <c r="K91" s="191"/>
      <c r="L91" s="1004">
        <f>L90/J90-1</f>
        <v>-6.3116656993615794E-2</v>
      </c>
      <c r="M91" s="1004">
        <f>M90/L90-1</f>
        <v>0.17376490630323671</v>
      </c>
      <c r="N91" s="1004">
        <f>N90/M90-1</f>
        <v>2.7180366803008393E-2</v>
      </c>
      <c r="O91" s="1004">
        <f>O90/N90-1</f>
        <v>0.26319845857418112</v>
      </c>
      <c r="P91" s="191"/>
      <c r="Q91" s="1004">
        <f>Q90/O90-1</f>
        <v>2.1456172462883893E-2</v>
      </c>
      <c r="R91" s="1004">
        <f>R90/Q90-1</f>
        <v>0.14803384768541572</v>
      </c>
      <c r="S91" s="1004">
        <f>S90/R90-1</f>
        <v>6.1567811307665643E-3</v>
      </c>
      <c r="T91" s="1004">
        <f>T90/S90-1</f>
        <v>0.50633456864603987</v>
      </c>
      <c r="U91" s="191"/>
      <c r="V91" s="1004">
        <f>V90/T90-1</f>
        <v>-0.1520768966700996</v>
      </c>
      <c r="W91" s="1004">
        <f>W90/V90-1</f>
        <v>-2.8205128205128216E-2</v>
      </c>
      <c r="X91" s="1004">
        <f>X90/W90-1</f>
        <v>0.72344118872378838</v>
      </c>
      <c r="Y91" s="1004">
        <f>Y90/X90-1</f>
        <v>-0.1055960678457758</v>
      </c>
      <c r="Z91" s="191"/>
      <c r="AA91" s="1004">
        <f>AA90/Y90-1</f>
        <v>0.12612612612612617</v>
      </c>
      <c r="AB91" s="1004">
        <f>AB90/AA90-1</f>
        <v>-0.12</v>
      </c>
      <c r="AC91" s="1004">
        <f>AC90/AB90-1</f>
        <v>0.17795454545454548</v>
      </c>
      <c r="AD91" s="1004">
        <f>AD90/AC90-1</f>
        <v>9.6855103222072136E-2</v>
      </c>
      <c r="AE91" s="191"/>
      <c r="AF91" s="1004">
        <f>AF90/AD90-1</f>
        <v>-0.23254177660510111</v>
      </c>
      <c r="AG91" s="1004">
        <f>AG90/AF90-1</f>
        <v>2.3103369241347593E-2</v>
      </c>
      <c r="AH91" s="1004">
        <f>AH90/AG90-1</f>
        <v>0.24154307988709167</v>
      </c>
      <c r="AI91" s="1004">
        <f>AI90/AH90-1</f>
        <v>-3.7170696499458922E-3</v>
      </c>
      <c r="AJ91" s="191"/>
      <c r="AK91" s="1004">
        <f>AK90/AI90-1</f>
        <v>-0.56203136885572502</v>
      </c>
      <c r="AL91" s="1004">
        <f>AL90/AK90-1</f>
        <v>0.46571830286990323</v>
      </c>
      <c r="AM91" s="1004">
        <f>AM90/AL90-1</f>
        <v>-1.3486062521160136E-2</v>
      </c>
      <c r="AN91" s="1004">
        <f>AN90/AM90-1</f>
        <v>0.11393925527655435</v>
      </c>
      <c r="AO91" s="191"/>
      <c r="AP91" s="1004">
        <f>AP90/AN90-1</f>
        <v>-0.37201540436456992</v>
      </c>
      <c r="AQ91" s="1004">
        <f>AQ90/AP90-1</f>
        <v>-0.13213409648405561</v>
      </c>
      <c r="AR91" s="1004">
        <f>AR90/AQ90-1</f>
        <v>0.43913698888260777</v>
      </c>
      <c r="AS91" s="1004">
        <f>AS90/AR90-1</f>
        <v>0.24163666121112937</v>
      </c>
      <c r="AT91" s="191"/>
      <c r="AU91" s="1004">
        <f>AU90/AS90-1</f>
        <v>-0.89296636085626913</v>
      </c>
      <c r="AV91" s="1004">
        <f>AV90/AU90-1</f>
        <v>-6.6502463054187166E-2</v>
      </c>
      <c r="AW91" s="820">
        <f>AW90/AV90-1</f>
        <v>3.9018469656992085</v>
      </c>
      <c r="AX91" s="1004">
        <f>AX90/AW90-1</f>
        <v>0.26493702228442251</v>
      </c>
      <c r="AY91" s="191"/>
      <c r="AZ91" s="620">
        <v>0.1</v>
      </c>
      <c r="BA91" s="620">
        <v>0.15</v>
      </c>
      <c r="BB91" s="620">
        <v>0.15</v>
      </c>
      <c r="BC91" s="620">
        <v>0.15</v>
      </c>
      <c r="BD91" s="191"/>
      <c r="BE91" s="191"/>
      <c r="BF91" s="191"/>
      <c r="BG91" s="191"/>
      <c r="BH91" s="361"/>
    </row>
    <row r="92" spans="1:60" s="574" customFormat="1" hidden="1" outlineLevel="1" x14ac:dyDescent="0.25">
      <c r="A92" s="947" t="s">
        <v>707</v>
      </c>
      <c r="B92" s="641"/>
      <c r="C92" s="191"/>
      <c r="D92" s="191"/>
      <c r="E92" s="191"/>
      <c r="F92" s="191"/>
      <c r="G92" s="1004"/>
      <c r="H92" s="1004"/>
      <c r="I92" s="1004"/>
      <c r="J92" s="1004"/>
      <c r="K92" s="191">
        <f t="shared" ref="K92:BD92" si="60">K90/F90-1</f>
        <v>7.4686792452830186</v>
      </c>
      <c r="L92" s="1004">
        <f t="shared" si="60"/>
        <v>0.31775510204081625</v>
      </c>
      <c r="M92" s="1004">
        <f t="shared" si="60"/>
        <v>0.47165048543689325</v>
      </c>
      <c r="N92" s="1004">
        <f t="shared" si="60"/>
        <v>0.41545454545454552</v>
      </c>
      <c r="O92" s="1004">
        <f t="shared" si="60"/>
        <v>0.42687173534532796</v>
      </c>
      <c r="P92" s="191">
        <f t="shared" si="60"/>
        <v>0.41052490865341773</v>
      </c>
      <c r="Q92" s="1004">
        <f t="shared" si="60"/>
        <v>0.55567601053120641</v>
      </c>
      <c r="R92" s="1004">
        <f t="shared" si="60"/>
        <v>0.52157276685578569</v>
      </c>
      <c r="S92" s="1004">
        <f t="shared" si="60"/>
        <v>0.49043031470777132</v>
      </c>
      <c r="T92" s="1004">
        <f t="shared" si="60"/>
        <v>0.77730323367907261</v>
      </c>
      <c r="U92" s="191">
        <f t="shared" si="60"/>
        <v>0.60031590586005379</v>
      </c>
      <c r="V92" s="1004">
        <f t="shared" si="60"/>
        <v>0.47536087605774013</v>
      </c>
      <c r="W92" s="1004">
        <f t="shared" si="60"/>
        <v>0.24887270204647938</v>
      </c>
      <c r="X92" s="1004">
        <f t="shared" si="60"/>
        <v>1.1391881409980176</v>
      </c>
      <c r="Y92" s="1004">
        <f t="shared" si="60"/>
        <v>0.2701682114658428</v>
      </c>
      <c r="Z92" s="191">
        <f t="shared" si="60"/>
        <v>0.50505349599273552</v>
      </c>
      <c r="AA92" s="1004">
        <f t="shared" si="60"/>
        <v>0.68690958164642368</v>
      </c>
      <c r="AB92" s="1004">
        <f t="shared" si="60"/>
        <v>0.52756561588668238</v>
      </c>
      <c r="AC92" s="1004">
        <f t="shared" si="60"/>
        <v>4.4075581161113542E-2</v>
      </c>
      <c r="AD92" s="1004">
        <f t="shared" si="60"/>
        <v>0.28040540540540548</v>
      </c>
      <c r="AE92" s="191">
        <f t="shared" si="60"/>
        <v>0.329171202602206</v>
      </c>
      <c r="AF92" s="1004">
        <f t="shared" si="60"/>
        <v>-0.12739999999999996</v>
      </c>
      <c r="AG92" s="1004">
        <f t="shared" si="60"/>
        <v>1.4499999999999957E-2</v>
      </c>
      <c r="AH92" s="1004">
        <f t="shared" si="60"/>
        <v>6.9264904495465851E-2</v>
      </c>
      <c r="AI92" s="1004">
        <f t="shared" si="60"/>
        <v>-2.8777484608619175E-2</v>
      </c>
      <c r="AJ92" s="191">
        <f t="shared" si="60"/>
        <v>-1.8640221038089599E-2</v>
      </c>
      <c r="AK92" s="1004">
        <f t="shared" si="60"/>
        <v>-0.44574833829933536</v>
      </c>
      <c r="AL92" s="1004">
        <f t="shared" si="60"/>
        <v>-0.20596800931941395</v>
      </c>
      <c r="AM92" s="1004">
        <f t="shared" si="60"/>
        <v>-0.36907253699025622</v>
      </c>
      <c r="AN92" s="1004">
        <f t="shared" si="60"/>
        <v>-0.29456297315898139</v>
      </c>
      <c r="AO92" s="191">
        <f t="shared" si="60"/>
        <v>-0.32860403615851019</v>
      </c>
      <c r="AP92" s="1004">
        <f t="shared" si="60"/>
        <v>1.1496154164254424E-2</v>
      </c>
      <c r="AQ92" s="1004">
        <f t="shared" si="60"/>
        <v>-0.40108339916487978</v>
      </c>
      <c r="AR92" s="1004">
        <f t="shared" si="60"/>
        <v>-0.12629411428244586</v>
      </c>
      <c r="AS92" s="1004">
        <f t="shared" si="60"/>
        <v>-2.6136071887034706E-2</v>
      </c>
      <c r="AT92" s="191">
        <f t="shared" si="60"/>
        <v>-0.1450629764418685</v>
      </c>
      <c r="AU92" s="1004">
        <f t="shared" si="60"/>
        <v>-0.83401471790678661</v>
      </c>
      <c r="AV92" s="1004">
        <f t="shared" si="60"/>
        <v>-0.82146221970981725</v>
      </c>
      <c r="AW92" s="820">
        <f t="shared" si="60"/>
        <v>-0.39188216039279866</v>
      </c>
      <c r="AX92" s="572">
        <f t="shared" si="60"/>
        <v>-0.38047031530106501</v>
      </c>
      <c r="AY92" s="571">
        <f t="shared" si="60"/>
        <v>-0.56268722081107114</v>
      </c>
      <c r="AZ92" s="572">
        <f t="shared" si="60"/>
        <v>5.3669950738916263</v>
      </c>
      <c r="BA92" s="572">
        <f t="shared" si="60"/>
        <v>6.8436675461741432</v>
      </c>
      <c r="BB92" s="572">
        <f t="shared" si="60"/>
        <v>0.84016713316826364</v>
      </c>
      <c r="BC92" s="572">
        <f t="shared" si="60"/>
        <v>0.67296249999999969</v>
      </c>
      <c r="BD92" s="571">
        <f t="shared" si="60"/>
        <v>1.5852977036933185</v>
      </c>
      <c r="BE92" s="1012">
        <v>0.1</v>
      </c>
      <c r="BF92" s="1012">
        <v>0.1</v>
      </c>
      <c r="BG92" s="1012">
        <v>0.1</v>
      </c>
      <c r="BH92" s="572"/>
    </row>
    <row r="93" spans="1:60" s="116" customFormat="1" hidden="1" outlineLevel="1" x14ac:dyDescent="0.25">
      <c r="A93" s="948" t="s">
        <v>779</v>
      </c>
      <c r="B93" s="637"/>
      <c r="C93" s="438"/>
      <c r="D93" s="438"/>
      <c r="E93" s="438"/>
      <c r="F93" s="438"/>
      <c r="G93" s="437"/>
      <c r="H93" s="437"/>
      <c r="I93" s="437"/>
      <c r="J93" s="437"/>
      <c r="K93" s="438"/>
      <c r="L93" s="437"/>
      <c r="M93" s="437"/>
      <c r="N93" s="437"/>
      <c r="O93" s="437"/>
      <c r="P93" s="438"/>
      <c r="Q93" s="437"/>
      <c r="R93" s="437"/>
      <c r="S93" s="437"/>
      <c r="T93" s="437"/>
      <c r="U93" s="438"/>
      <c r="V93" s="437"/>
      <c r="W93" s="437"/>
      <c r="X93" s="437"/>
      <c r="Y93" s="437"/>
      <c r="Z93" s="438"/>
      <c r="AA93" s="437"/>
      <c r="AB93" s="437"/>
      <c r="AC93" s="437">
        <v>222</v>
      </c>
      <c r="AD93" s="437">
        <v>1542</v>
      </c>
      <c r="AE93" s="438">
        <f>SUM(AA93,AB93,AC93,AD93)</f>
        <v>1764</v>
      </c>
      <c r="AF93" s="437">
        <v>8182</v>
      </c>
      <c r="AG93" s="437">
        <v>18449</v>
      </c>
      <c r="AH93" s="437">
        <v>56065</v>
      </c>
      <c r="AI93" s="437">
        <v>63359</v>
      </c>
      <c r="AJ93" s="438">
        <f>SUM(AF93,AG93,AH93,AI93)</f>
        <v>146055</v>
      </c>
      <c r="AK93" s="437">
        <v>50928</v>
      </c>
      <c r="AL93" s="437">
        <v>77634</v>
      </c>
      <c r="AM93" s="437">
        <v>79703</v>
      </c>
      <c r="AN93" s="437">
        <v>92620</v>
      </c>
      <c r="AO93" s="438">
        <f>SUM(AK93,AL93,AM93,AN93)</f>
        <v>300885</v>
      </c>
      <c r="AP93" s="437">
        <v>76266</v>
      </c>
      <c r="AQ93" s="437">
        <v>80277</v>
      </c>
      <c r="AR93" s="437">
        <v>124318</v>
      </c>
      <c r="AS93" s="437">
        <v>161701</v>
      </c>
      <c r="AT93" s="438">
        <f>SUM(AP93,AQ93,AR93,AS93)</f>
        <v>442562</v>
      </c>
      <c r="AU93" s="437">
        <v>182847</v>
      </c>
      <c r="AV93" s="437">
        <v>199409</v>
      </c>
      <c r="AW93" s="725">
        <v>232102</v>
      </c>
      <c r="AX93" s="1003">
        <v>296850</v>
      </c>
      <c r="AY93" s="33">
        <f>SUM(AU93,AV93,AW93,AX93)</f>
        <v>911208</v>
      </c>
      <c r="AZ93" s="368">
        <f>AX93*(1+AZ94)</f>
        <v>341377.5</v>
      </c>
      <c r="BA93" s="368">
        <f>AZ93*(1+BA94)</f>
        <v>392584.12499999994</v>
      </c>
      <c r="BB93" s="368">
        <f>BA93*(1+BB94)</f>
        <v>451471.74374999991</v>
      </c>
      <c r="BC93" s="368">
        <f>BB93*(1+BC94)</f>
        <v>519192.50531249988</v>
      </c>
      <c r="BD93" s="33">
        <f>SUM(AZ93,BA93,BB93,BC93)</f>
        <v>1704625.8740624997</v>
      </c>
      <c r="BE93" s="33">
        <f>BD93*(1+BE95)</f>
        <v>1960319.7551718745</v>
      </c>
      <c r="BF93" s="33">
        <f>BE93*(1+BF95)</f>
        <v>2254367.7184476554</v>
      </c>
      <c r="BG93" s="33">
        <f>BF93*(1+BG95)</f>
        <v>2592522.8762148037</v>
      </c>
      <c r="BH93" s="368"/>
    </row>
    <row r="94" spans="1:60" s="356" customFormat="1" hidden="1" outlineLevel="1" x14ac:dyDescent="0.25">
      <c r="A94" s="946" t="s">
        <v>772</v>
      </c>
      <c r="B94" s="903"/>
      <c r="C94" s="191"/>
      <c r="D94" s="191"/>
      <c r="E94" s="191"/>
      <c r="F94" s="191"/>
      <c r="G94" s="1004"/>
      <c r="H94" s="1004"/>
      <c r="I94" s="1004"/>
      <c r="J94" s="1004"/>
      <c r="K94" s="191"/>
      <c r="L94" s="1004"/>
      <c r="M94" s="1004"/>
      <c r="N94" s="1004"/>
      <c r="O94" s="1004"/>
      <c r="P94" s="191"/>
      <c r="Q94" s="1004"/>
      <c r="R94" s="1004"/>
      <c r="S94" s="1004"/>
      <c r="T94" s="1004"/>
      <c r="U94" s="191"/>
      <c r="V94" s="1004"/>
      <c r="W94" s="1004"/>
      <c r="X94" s="1004"/>
      <c r="Y94" s="1004"/>
      <c r="Z94" s="191"/>
      <c r="AA94" s="1004"/>
      <c r="AB94" s="1004"/>
      <c r="AC94" s="1004"/>
      <c r="AD94" s="1004">
        <f>AD93/AC93-1</f>
        <v>5.9459459459459456</v>
      </c>
      <c r="AE94" s="191"/>
      <c r="AF94" s="1004">
        <f>AF93/AD93-1</f>
        <v>4.30609597924773</v>
      </c>
      <c r="AG94" s="1004">
        <f>AG93/AF93-1</f>
        <v>1.2548276704962111</v>
      </c>
      <c r="AH94" s="1004">
        <f>AH93/AG93-1</f>
        <v>2.0389180985419264</v>
      </c>
      <c r="AI94" s="1004">
        <f>AI93/AH93-1</f>
        <v>0.13009899224114863</v>
      </c>
      <c r="AJ94" s="191"/>
      <c r="AK94" s="1004">
        <f>AK93/AI93-1</f>
        <v>-0.19619943496582959</v>
      </c>
      <c r="AL94" s="1004">
        <f>AL93/AK93-1</f>
        <v>0.52438737040527794</v>
      </c>
      <c r="AM94" s="1004">
        <f>AM93/AL93-1</f>
        <v>2.6650694283432586E-2</v>
      </c>
      <c r="AN94" s="1004">
        <f>AN93/AM93-1</f>
        <v>0.16206416320590189</v>
      </c>
      <c r="AO94" s="191"/>
      <c r="AP94" s="1004">
        <f>AP93/AN93-1</f>
        <v>-0.17657093500323906</v>
      </c>
      <c r="AQ94" s="1004">
        <f>AQ93/AP93-1</f>
        <v>5.2592242939186518E-2</v>
      </c>
      <c r="AR94" s="1004">
        <f>AR93/AQ93-1</f>
        <v>0.54861292773770809</v>
      </c>
      <c r="AS94" s="1004">
        <f>AS93/AR93-1</f>
        <v>0.30070464454061363</v>
      </c>
      <c r="AT94" s="191"/>
      <c r="AU94" s="1004">
        <f>AU93/AS93-1</f>
        <v>0.13077222775369357</v>
      </c>
      <c r="AV94" s="1004">
        <f>AV93/AU93-1</f>
        <v>9.0578461774051489E-2</v>
      </c>
      <c r="AW94" s="820">
        <f>AW93/AV93-1</f>
        <v>0.16394947068587684</v>
      </c>
      <c r="AX94" s="1004">
        <f>AX93/AW93-1</f>
        <v>0.27896355912486759</v>
      </c>
      <c r="AY94" s="191"/>
      <c r="AZ94" s="620">
        <v>0.15</v>
      </c>
      <c r="BA94" s="620">
        <v>0.15</v>
      </c>
      <c r="BB94" s="620">
        <v>0.15</v>
      </c>
      <c r="BC94" s="620">
        <v>0.15</v>
      </c>
      <c r="BD94" s="191"/>
      <c r="BE94" s="191"/>
      <c r="BF94" s="191"/>
      <c r="BG94" s="191"/>
      <c r="BH94" s="361"/>
    </row>
    <row r="95" spans="1:60" s="574" customFormat="1" hidden="1" outlineLevel="1" x14ac:dyDescent="0.25">
      <c r="A95" s="947" t="s">
        <v>708</v>
      </c>
      <c r="B95" s="641"/>
      <c r="C95" s="191"/>
      <c r="D95" s="191"/>
      <c r="E95" s="191"/>
      <c r="F95" s="191"/>
      <c r="G95" s="1004"/>
      <c r="H95" s="1004"/>
      <c r="I95" s="1004"/>
      <c r="J95" s="1004"/>
      <c r="K95" s="191"/>
      <c r="L95" s="1004"/>
      <c r="M95" s="1004"/>
      <c r="N95" s="1004"/>
      <c r="O95" s="1004"/>
      <c r="P95" s="191"/>
      <c r="Q95" s="1004"/>
      <c r="R95" s="1004"/>
      <c r="S95" s="1004"/>
      <c r="T95" s="1004"/>
      <c r="U95" s="191"/>
      <c r="V95" s="1004"/>
      <c r="W95" s="1004"/>
      <c r="X95" s="1004"/>
      <c r="Y95" s="1004"/>
      <c r="Z95" s="191"/>
      <c r="AA95" s="1004"/>
      <c r="AB95" s="1004"/>
      <c r="AC95" s="1004"/>
      <c r="AD95" s="1004"/>
      <c r="AE95" s="191"/>
      <c r="AF95" s="1004"/>
      <c r="AG95" s="1004"/>
      <c r="AH95" s="1004">
        <f t="shared" ref="AH95:BD95" si="61">AH93/AC93-1</f>
        <v>251.54504504504504</v>
      </c>
      <c r="AI95" s="1004">
        <f t="shared" si="61"/>
        <v>40.088845654993513</v>
      </c>
      <c r="AJ95" s="191">
        <f t="shared" si="61"/>
        <v>81.797619047619051</v>
      </c>
      <c r="AK95" s="1004">
        <f t="shared" si="61"/>
        <v>5.2243950134441457</v>
      </c>
      <c r="AL95" s="1004">
        <f t="shared" si="61"/>
        <v>3.2080329557157565</v>
      </c>
      <c r="AM95" s="1004">
        <f t="shared" si="61"/>
        <v>0.42161776509408733</v>
      </c>
      <c r="AN95" s="1004">
        <f t="shared" si="61"/>
        <v>0.46182862734575991</v>
      </c>
      <c r="AO95" s="191">
        <f t="shared" si="61"/>
        <v>1.0600801068090786</v>
      </c>
      <c r="AP95" s="1004">
        <f t="shared" si="61"/>
        <v>0.49752591894439213</v>
      </c>
      <c r="AQ95" s="1004">
        <f t="shared" si="61"/>
        <v>3.4044362006337536E-2</v>
      </c>
      <c r="AR95" s="1004">
        <f t="shared" si="61"/>
        <v>0.55976562990100742</v>
      </c>
      <c r="AS95" s="1004">
        <f t="shared" si="61"/>
        <v>0.74585402720794636</v>
      </c>
      <c r="AT95" s="191">
        <f t="shared" si="61"/>
        <v>0.47086760722535193</v>
      </c>
      <c r="AU95" s="1004">
        <f t="shared" si="61"/>
        <v>1.3974903626779955</v>
      </c>
      <c r="AV95" s="1004">
        <f t="shared" si="61"/>
        <v>1.4840116098010636</v>
      </c>
      <c r="AW95" s="820">
        <f t="shared" si="61"/>
        <v>0.86700236490291038</v>
      </c>
      <c r="AX95" s="572">
        <f t="shared" si="61"/>
        <v>0.83579569699630807</v>
      </c>
      <c r="AY95" s="571">
        <f t="shared" si="61"/>
        <v>1.0589386345867924</v>
      </c>
      <c r="AZ95" s="572">
        <f t="shared" si="61"/>
        <v>0.86701176393378065</v>
      </c>
      <c r="BA95" s="572">
        <f t="shared" si="61"/>
        <v>0.96873824651846174</v>
      </c>
      <c r="BB95" s="572">
        <f t="shared" si="61"/>
        <v>0.94514370298403239</v>
      </c>
      <c r="BC95" s="572">
        <f t="shared" si="61"/>
        <v>0.74900624999999965</v>
      </c>
      <c r="BD95" s="571">
        <f t="shared" si="61"/>
        <v>0.87073190101765974</v>
      </c>
      <c r="BE95" s="1012">
        <v>0.15</v>
      </c>
      <c r="BF95" s="1012">
        <v>0.15</v>
      </c>
      <c r="BG95" s="1012">
        <v>0.15</v>
      </c>
      <c r="BH95" s="572"/>
    </row>
    <row r="96" spans="1:60" s="116" customFormat="1" hidden="1" outlineLevel="1" x14ac:dyDescent="0.25">
      <c r="A96" s="948" t="s">
        <v>775</v>
      </c>
      <c r="B96" s="637"/>
      <c r="C96" s="438"/>
      <c r="D96" s="438"/>
      <c r="E96" s="438"/>
      <c r="F96" s="438"/>
      <c r="G96" s="437"/>
      <c r="H96" s="437"/>
      <c r="I96" s="437"/>
      <c r="J96" s="437"/>
      <c r="K96" s="438"/>
      <c r="L96" s="437"/>
      <c r="M96" s="437"/>
      <c r="N96" s="437"/>
      <c r="O96" s="437"/>
      <c r="P96" s="438"/>
      <c r="Q96" s="437"/>
      <c r="R96" s="437"/>
      <c r="S96" s="437"/>
      <c r="T96" s="437"/>
      <c r="U96" s="438"/>
      <c r="V96" s="437"/>
      <c r="W96" s="437"/>
      <c r="X96" s="437"/>
      <c r="Y96" s="437"/>
      <c r="Z96" s="438"/>
      <c r="AA96" s="437"/>
      <c r="AB96" s="437"/>
      <c r="AC96" s="437"/>
      <c r="AD96" s="437"/>
      <c r="AE96" s="438"/>
      <c r="AF96" s="437"/>
      <c r="AG96" s="437"/>
      <c r="AH96" s="437"/>
      <c r="AI96" s="437"/>
      <c r="AJ96" s="438"/>
      <c r="AK96" s="437"/>
      <c r="AL96" s="437"/>
      <c r="AM96" s="437"/>
      <c r="AN96" s="437"/>
      <c r="AO96" s="438"/>
      <c r="AP96" s="437"/>
      <c r="AQ96" s="437"/>
      <c r="AR96" s="437"/>
      <c r="AS96" s="437"/>
      <c r="AT96" s="438"/>
      <c r="AU96" s="437"/>
      <c r="AV96" s="437"/>
      <c r="AW96" s="725"/>
      <c r="AX96" s="437"/>
      <c r="AY96" s="438"/>
      <c r="AZ96" s="437"/>
      <c r="BA96" s="437"/>
      <c r="BB96" s="437"/>
      <c r="BC96" s="437"/>
      <c r="BD96" s="438"/>
      <c r="BE96" s="1013">
        <v>20000</v>
      </c>
      <c r="BF96" s="438">
        <f>BE96*(1+BF98)</f>
        <v>22000</v>
      </c>
      <c r="BG96" s="438">
        <f>BF96*(1+BG98)</f>
        <v>24200.000000000004</v>
      </c>
      <c r="BH96" s="368"/>
    </row>
    <row r="97" spans="1:60" s="574" customFormat="1" hidden="1" outlineLevel="1" x14ac:dyDescent="0.25">
      <c r="A97" s="947" t="s">
        <v>774</v>
      </c>
      <c r="B97" s="641"/>
      <c r="C97" s="191"/>
      <c r="D97" s="191"/>
      <c r="E97" s="191"/>
      <c r="F97" s="191"/>
      <c r="G97" s="1004"/>
      <c r="H97" s="1004"/>
      <c r="I97" s="1004"/>
      <c r="J97" s="1004"/>
      <c r="K97" s="191"/>
      <c r="L97" s="1004"/>
      <c r="M97" s="1004"/>
      <c r="N97" s="1004"/>
      <c r="O97" s="1004"/>
      <c r="P97" s="191"/>
      <c r="Q97" s="1004"/>
      <c r="R97" s="1004"/>
      <c r="S97" s="1004"/>
      <c r="T97" s="1004"/>
      <c r="U97" s="191"/>
      <c r="V97" s="1004"/>
      <c r="W97" s="1004"/>
      <c r="X97" s="1004"/>
      <c r="Y97" s="1004"/>
      <c r="Z97" s="191"/>
      <c r="AA97" s="1004"/>
      <c r="AB97" s="1004"/>
      <c r="AC97" s="1004"/>
      <c r="AD97" s="1004"/>
      <c r="AE97" s="191"/>
      <c r="AF97" s="1004"/>
      <c r="AG97" s="1004"/>
      <c r="AH97" s="1004"/>
      <c r="AI97" s="1004"/>
      <c r="AJ97" s="191"/>
      <c r="AK97" s="1004"/>
      <c r="AL97" s="1004"/>
      <c r="AM97" s="1004"/>
      <c r="AN97" s="1004"/>
      <c r="AO97" s="191"/>
      <c r="AP97" s="1004"/>
      <c r="AQ97" s="1004"/>
      <c r="AR97" s="1004"/>
      <c r="AS97" s="1004"/>
      <c r="AT97" s="191"/>
      <c r="AU97" s="1004"/>
      <c r="AV97" s="1004"/>
      <c r="AW97" s="820"/>
      <c r="AX97" s="1004"/>
      <c r="AY97" s="191"/>
      <c r="AZ97" s="1004"/>
      <c r="BA97" s="1004"/>
      <c r="BB97" s="1004"/>
      <c r="BC97" s="1004"/>
      <c r="BD97" s="191"/>
      <c r="BE97" s="191"/>
      <c r="BF97" s="191"/>
      <c r="BG97" s="191"/>
      <c r="BH97" s="572"/>
    </row>
    <row r="98" spans="1:60" s="574" customFormat="1" hidden="1" outlineLevel="1" x14ac:dyDescent="0.25">
      <c r="A98" s="947" t="s">
        <v>733</v>
      </c>
      <c r="B98" s="641"/>
      <c r="C98" s="191"/>
      <c r="D98" s="191"/>
      <c r="E98" s="191"/>
      <c r="F98" s="191"/>
      <c r="G98" s="1004"/>
      <c r="H98" s="1004"/>
      <c r="I98" s="1004"/>
      <c r="J98" s="1004"/>
      <c r="K98" s="191"/>
      <c r="L98" s="1004"/>
      <c r="M98" s="1004"/>
      <c r="N98" s="1004"/>
      <c r="O98" s="1004"/>
      <c r="P98" s="191"/>
      <c r="Q98" s="1004"/>
      <c r="R98" s="1004"/>
      <c r="S98" s="1004"/>
      <c r="T98" s="1004"/>
      <c r="U98" s="191"/>
      <c r="V98" s="1004"/>
      <c r="W98" s="1004"/>
      <c r="X98" s="1004"/>
      <c r="Y98" s="1004"/>
      <c r="Z98" s="191"/>
      <c r="AA98" s="1004"/>
      <c r="AB98" s="1004"/>
      <c r="AC98" s="1004"/>
      <c r="AD98" s="1004"/>
      <c r="AE98" s="191"/>
      <c r="AF98" s="1004"/>
      <c r="AG98" s="1004"/>
      <c r="AH98" s="1004"/>
      <c r="AI98" s="1004"/>
      <c r="AJ98" s="191"/>
      <c r="AK98" s="1004"/>
      <c r="AL98" s="1004"/>
      <c r="AM98" s="1004"/>
      <c r="AN98" s="1004"/>
      <c r="AO98" s="191"/>
      <c r="AP98" s="1004"/>
      <c r="AQ98" s="1004"/>
      <c r="AR98" s="1004"/>
      <c r="AS98" s="1004"/>
      <c r="AT98" s="191"/>
      <c r="AU98" s="1004"/>
      <c r="AV98" s="1004"/>
      <c r="AW98" s="820"/>
      <c r="AX98" s="1004"/>
      <c r="AY98" s="191"/>
      <c r="AZ98" s="1004"/>
      <c r="BA98" s="1004"/>
      <c r="BB98" s="1004"/>
      <c r="BC98" s="1004"/>
      <c r="BD98" s="191"/>
      <c r="BE98" s="191"/>
      <c r="BF98" s="1012">
        <v>0.1</v>
      </c>
      <c r="BG98" s="1012">
        <v>0.1</v>
      </c>
      <c r="BH98" s="572"/>
    </row>
    <row r="99" spans="1:60" s="116" customFormat="1" hidden="1" outlineLevel="1" x14ac:dyDescent="0.25">
      <c r="A99" s="86" t="s">
        <v>25</v>
      </c>
      <c r="B99" s="636"/>
      <c r="C99" s="45"/>
      <c r="D99" s="29">
        <f t="shared" ref="D99:AI99" si="62">D87+D90+D93+D96</f>
        <v>1500</v>
      </c>
      <c r="E99" s="29">
        <f t="shared" si="62"/>
        <v>650</v>
      </c>
      <c r="F99" s="29">
        <f t="shared" si="62"/>
        <v>3150</v>
      </c>
      <c r="G99" s="30">
        <f t="shared" si="62"/>
        <v>4900</v>
      </c>
      <c r="H99" s="30">
        <f t="shared" si="62"/>
        <v>5150</v>
      </c>
      <c r="I99" s="30">
        <f t="shared" si="62"/>
        <v>5500</v>
      </c>
      <c r="J99" s="30">
        <f t="shared" si="62"/>
        <v>6892</v>
      </c>
      <c r="K99" s="29">
        <f t="shared" si="62"/>
        <v>22442</v>
      </c>
      <c r="L99" s="30">
        <f t="shared" si="62"/>
        <v>6457</v>
      </c>
      <c r="M99" s="30">
        <f t="shared" si="62"/>
        <v>7579</v>
      </c>
      <c r="N99" s="30">
        <f t="shared" si="62"/>
        <v>7785</v>
      </c>
      <c r="O99" s="30">
        <f t="shared" si="62"/>
        <v>9834</v>
      </c>
      <c r="P99" s="29">
        <f t="shared" si="62"/>
        <v>31655</v>
      </c>
      <c r="Q99" s="30">
        <f t="shared" si="62"/>
        <v>10045</v>
      </c>
      <c r="R99" s="30">
        <f t="shared" si="62"/>
        <v>11532</v>
      </c>
      <c r="S99" s="30">
        <f t="shared" si="62"/>
        <v>11603</v>
      </c>
      <c r="T99" s="30">
        <f t="shared" si="62"/>
        <v>17478</v>
      </c>
      <c r="U99" s="29">
        <f t="shared" si="62"/>
        <v>50658</v>
      </c>
      <c r="V99" s="30">
        <f t="shared" si="62"/>
        <v>14820</v>
      </c>
      <c r="W99" s="31">
        <f t="shared" si="62"/>
        <v>14402</v>
      </c>
      <c r="X99" s="31">
        <f t="shared" si="62"/>
        <v>24821</v>
      </c>
      <c r="Y99" s="30">
        <f t="shared" si="62"/>
        <v>22200</v>
      </c>
      <c r="Z99" s="29">
        <f t="shared" si="62"/>
        <v>76243</v>
      </c>
      <c r="AA99" s="30">
        <f t="shared" si="62"/>
        <v>25000</v>
      </c>
      <c r="AB99" s="31">
        <f t="shared" si="62"/>
        <v>22000</v>
      </c>
      <c r="AC99" s="31">
        <f t="shared" si="62"/>
        <v>26137</v>
      </c>
      <c r="AD99" s="30">
        <f t="shared" si="62"/>
        <v>29967</v>
      </c>
      <c r="AE99" s="29">
        <f t="shared" si="62"/>
        <v>103104</v>
      </c>
      <c r="AF99" s="30">
        <f t="shared" si="62"/>
        <v>29997</v>
      </c>
      <c r="AG99" s="31">
        <f t="shared" si="62"/>
        <v>40768</v>
      </c>
      <c r="AH99" s="31">
        <f t="shared" si="62"/>
        <v>83775</v>
      </c>
      <c r="AI99" s="30">
        <f t="shared" si="62"/>
        <v>90966</v>
      </c>
      <c r="AJ99" s="29">
        <f t="shared" ref="AJ99:BG99" si="63">AJ87+AJ90+AJ93+AJ96</f>
        <v>245506</v>
      </c>
      <c r="AK99" s="30">
        <f t="shared" si="63"/>
        <v>63019</v>
      </c>
      <c r="AL99" s="31">
        <f t="shared" si="63"/>
        <v>95356</v>
      </c>
      <c r="AM99" s="31">
        <f t="shared" si="63"/>
        <v>97186</v>
      </c>
      <c r="AN99" s="30">
        <f t="shared" si="63"/>
        <v>112095</v>
      </c>
      <c r="AO99" s="29">
        <f t="shared" si="63"/>
        <v>367656</v>
      </c>
      <c r="AP99" s="30">
        <f t="shared" si="63"/>
        <v>88496</v>
      </c>
      <c r="AQ99" s="31">
        <f t="shared" si="63"/>
        <v>90891</v>
      </c>
      <c r="AR99" s="31">
        <f t="shared" si="63"/>
        <v>139593</v>
      </c>
      <c r="AS99" s="30">
        <f t="shared" si="63"/>
        <v>180667</v>
      </c>
      <c r="AT99" s="29">
        <f t="shared" si="63"/>
        <v>499647</v>
      </c>
      <c r="AU99" s="30">
        <f t="shared" si="63"/>
        <v>184877</v>
      </c>
      <c r="AV99" s="31">
        <f t="shared" si="63"/>
        <v>201304</v>
      </c>
      <c r="AW99" s="795">
        <f t="shared" si="63"/>
        <v>241391</v>
      </c>
      <c r="AX99" s="44">
        <f t="shared" si="63"/>
        <v>308600</v>
      </c>
      <c r="AY99" s="45">
        <f t="shared" si="63"/>
        <v>936172</v>
      </c>
      <c r="AZ99" s="44">
        <f t="shared" si="63"/>
        <v>354302.5</v>
      </c>
      <c r="BA99" s="44">
        <f t="shared" si="63"/>
        <v>407447.87499999994</v>
      </c>
      <c r="BB99" s="44">
        <f t="shared" si="63"/>
        <v>468565.05624999991</v>
      </c>
      <c r="BC99" s="44">
        <f t="shared" si="63"/>
        <v>538849.81468749989</v>
      </c>
      <c r="BD99" s="45">
        <f t="shared" si="63"/>
        <v>1769165.2459374997</v>
      </c>
      <c r="BE99" s="45">
        <f t="shared" si="63"/>
        <v>2051313.0642343746</v>
      </c>
      <c r="BF99" s="45">
        <f t="shared" si="63"/>
        <v>2354460.3584164055</v>
      </c>
      <c r="BG99" s="45">
        <f t="shared" si="63"/>
        <v>2702624.7801804286</v>
      </c>
      <c r="BH99" s="368"/>
    </row>
    <row r="100" spans="1:60" s="574" customFormat="1" hidden="1" outlineLevel="1" x14ac:dyDescent="0.25">
      <c r="A100" s="372" t="s">
        <v>734</v>
      </c>
      <c r="B100" s="641"/>
      <c r="C100" s="191"/>
      <c r="D100" s="191"/>
      <c r="E100" s="191"/>
      <c r="F100" s="191"/>
      <c r="G100" s="1004"/>
      <c r="H100" s="572">
        <f>H99/G99-1</f>
        <v>5.1020408163265252E-2</v>
      </c>
      <c r="I100" s="572">
        <f>I99/H99-1</f>
        <v>6.7961165048543659E-2</v>
      </c>
      <c r="J100" s="572">
        <f>J99/I99-1</f>
        <v>0.25309090909090903</v>
      </c>
      <c r="K100" s="191"/>
      <c r="L100" s="572">
        <f>L99/J99-1</f>
        <v>-6.3116656993615794E-2</v>
      </c>
      <c r="M100" s="572">
        <f>M99/L99-1</f>
        <v>0.17376490630323671</v>
      </c>
      <c r="N100" s="572">
        <f>N99/M99-1</f>
        <v>2.7180366803008393E-2</v>
      </c>
      <c r="O100" s="572">
        <f>O99/N99-1</f>
        <v>0.26319845857418112</v>
      </c>
      <c r="P100" s="191"/>
      <c r="Q100" s="572">
        <f>Q99/O99-1</f>
        <v>2.1456172462883893E-2</v>
      </c>
      <c r="R100" s="572">
        <f>R99/Q99-1</f>
        <v>0.14803384768541572</v>
      </c>
      <c r="S100" s="572">
        <f>S99/R99-1</f>
        <v>6.1567811307665643E-3</v>
      </c>
      <c r="T100" s="572">
        <f>T99/S99-1</f>
        <v>0.50633456864603987</v>
      </c>
      <c r="U100" s="191"/>
      <c r="V100" s="572">
        <f>V99/T99-1</f>
        <v>-0.1520768966700996</v>
      </c>
      <c r="W100" s="573">
        <f>W99/V99-1</f>
        <v>-2.8205128205128216E-2</v>
      </c>
      <c r="X100" s="573">
        <f>X99/W99-1</f>
        <v>0.72344118872378838</v>
      </c>
      <c r="Y100" s="572">
        <f>Y99/X99-1</f>
        <v>-0.1055960678457758</v>
      </c>
      <c r="Z100" s="191"/>
      <c r="AA100" s="572">
        <f>AA99/Y99-1</f>
        <v>0.12612612612612617</v>
      </c>
      <c r="AB100" s="573">
        <f>AB99/AA99-1</f>
        <v>-0.12</v>
      </c>
      <c r="AC100" s="573">
        <f>AC99/AB99-1</f>
        <v>0.18804545454545463</v>
      </c>
      <c r="AD100" s="572">
        <f>AD99/AC99-1</f>
        <v>0.14653556261238854</v>
      </c>
      <c r="AE100" s="191"/>
      <c r="AF100" s="572">
        <f>AF99/AD99-1</f>
        <v>1.0011012113324558E-3</v>
      </c>
      <c r="AG100" s="573">
        <f>AG99/AF99-1</f>
        <v>0.35906924025735898</v>
      </c>
      <c r="AH100" s="573">
        <f>AH99/AG99-1</f>
        <v>1.0549205259026686</v>
      </c>
      <c r="AI100" s="572">
        <f>AI99/AH99-1</f>
        <v>8.5837063563115379E-2</v>
      </c>
      <c r="AJ100" s="191"/>
      <c r="AK100" s="572">
        <f>AK99/AI99-1</f>
        <v>-0.30722467735197767</v>
      </c>
      <c r="AL100" s="573">
        <f>AL99/AK99-1</f>
        <v>0.51313096050397489</v>
      </c>
      <c r="AM100" s="573">
        <f>AM99/AL99-1</f>
        <v>1.9191241243340817E-2</v>
      </c>
      <c r="AN100" s="572">
        <f>AN99/AM99-1</f>
        <v>0.15340686930216285</v>
      </c>
      <c r="AO100" s="191"/>
      <c r="AP100" s="572">
        <f>AP99/AN99-1</f>
        <v>-0.21052678531602653</v>
      </c>
      <c r="AQ100" s="573">
        <f>AQ99/AP99-1</f>
        <v>2.7063370095823602E-2</v>
      </c>
      <c r="AR100" s="573">
        <f>AR99/AQ99-1</f>
        <v>0.53582862989734958</v>
      </c>
      <c r="AS100" s="572">
        <f>AS99/AR99-1</f>
        <v>0.29424111524216823</v>
      </c>
      <c r="AT100" s="191"/>
      <c r="AU100" s="572">
        <f>AU99/AS99-1</f>
        <v>2.3302540032213992E-2</v>
      </c>
      <c r="AV100" s="573">
        <f>AV99/AU99-1</f>
        <v>8.8853670278076669E-2</v>
      </c>
      <c r="AW100" s="844">
        <f>AW99/AV99-1</f>
        <v>0.19913662917776098</v>
      </c>
      <c r="AX100" s="1004">
        <f>AX99/AW99-1</f>
        <v>0.27842380204730088</v>
      </c>
      <c r="AY100" s="191"/>
      <c r="AZ100" s="1004">
        <f>AZ99/AX99-1</f>
        <v>0.14809624108878805</v>
      </c>
      <c r="BA100" s="1004">
        <f>BA99/AZ99-1</f>
        <v>0.14999999999999991</v>
      </c>
      <c r="BB100" s="1004">
        <f>BB99/BA99-1</f>
        <v>0.14999999999999991</v>
      </c>
      <c r="BC100" s="1004">
        <f>BC99/BB99-1</f>
        <v>0.14999999999999991</v>
      </c>
      <c r="BD100" s="191"/>
      <c r="BE100" s="191"/>
      <c r="BF100" s="191"/>
      <c r="BG100" s="191"/>
      <c r="BH100" s="572"/>
    </row>
    <row r="101" spans="1:60" s="574" customFormat="1" hidden="1" outlineLevel="1" x14ac:dyDescent="0.25">
      <c r="A101" s="372" t="s">
        <v>732</v>
      </c>
      <c r="B101" s="641"/>
      <c r="C101" s="191"/>
      <c r="D101" s="191"/>
      <c r="E101" s="191"/>
      <c r="F101" s="191"/>
      <c r="G101" s="1004"/>
      <c r="H101" s="1004"/>
      <c r="I101" s="1004"/>
      <c r="J101" s="1004"/>
      <c r="K101" s="191"/>
      <c r="L101" s="1004"/>
      <c r="M101" s="1004"/>
      <c r="N101" s="1004"/>
      <c r="O101" s="1004"/>
      <c r="P101" s="191"/>
      <c r="Q101" s="1004"/>
      <c r="R101" s="1004"/>
      <c r="S101" s="1004"/>
      <c r="T101" s="1004"/>
      <c r="U101" s="191"/>
      <c r="V101" s="1004"/>
      <c r="W101" s="1004"/>
      <c r="X101" s="1004"/>
      <c r="Y101" s="1004"/>
      <c r="Z101" s="191"/>
      <c r="AA101" s="572">
        <f t="shared" ref="AA101:BD101" si="64">AA99/V99-1</f>
        <v>0.68690958164642368</v>
      </c>
      <c r="AB101" s="573">
        <f t="shared" si="64"/>
        <v>0.52756561588668238</v>
      </c>
      <c r="AC101" s="573">
        <f t="shared" si="64"/>
        <v>5.3019620482655849E-2</v>
      </c>
      <c r="AD101" s="572">
        <f t="shared" si="64"/>
        <v>0.34986486486486479</v>
      </c>
      <c r="AE101" s="571">
        <f t="shared" si="64"/>
        <v>0.35230775284288396</v>
      </c>
      <c r="AF101" s="572">
        <f t="shared" si="64"/>
        <v>0.19988000000000006</v>
      </c>
      <c r="AG101" s="573">
        <f t="shared" si="64"/>
        <v>0.85309090909090912</v>
      </c>
      <c r="AH101" s="573">
        <f t="shared" si="64"/>
        <v>2.205226307533382</v>
      </c>
      <c r="AI101" s="572">
        <f t="shared" si="64"/>
        <v>2.0355390930023027</v>
      </c>
      <c r="AJ101" s="571">
        <f t="shared" si="64"/>
        <v>1.3811491309745501</v>
      </c>
      <c r="AK101" s="572">
        <f t="shared" si="64"/>
        <v>1.100843417675101</v>
      </c>
      <c r="AL101" s="573">
        <f t="shared" si="64"/>
        <v>1.3389913657770802</v>
      </c>
      <c r="AM101" s="573">
        <f t="shared" si="64"/>
        <v>0.16008355714712019</v>
      </c>
      <c r="AN101" s="572">
        <f t="shared" si="64"/>
        <v>0.23227359672844794</v>
      </c>
      <c r="AO101" s="571">
        <f t="shared" si="64"/>
        <v>0.49754384821552233</v>
      </c>
      <c r="AP101" s="572">
        <f t="shared" si="64"/>
        <v>0.40427490122026688</v>
      </c>
      <c r="AQ101" s="573">
        <f t="shared" si="64"/>
        <v>-4.6824531230336808E-2</v>
      </c>
      <c r="AR101" s="573">
        <f t="shared" si="64"/>
        <v>0.43634885683123081</v>
      </c>
      <c r="AS101" s="572">
        <f t="shared" si="64"/>
        <v>0.611731120924216</v>
      </c>
      <c r="AT101" s="571">
        <f t="shared" si="64"/>
        <v>0.35900678895489269</v>
      </c>
      <c r="AU101" s="572">
        <f t="shared" si="64"/>
        <v>1.0891000723196527</v>
      </c>
      <c r="AV101" s="573">
        <f t="shared" si="64"/>
        <v>1.2147847421636904</v>
      </c>
      <c r="AW101" s="844">
        <f t="shared" si="64"/>
        <v>0.72924860129089564</v>
      </c>
      <c r="AX101" s="1004">
        <f t="shared" si="64"/>
        <v>0.70811492967725154</v>
      </c>
      <c r="AY101" s="191">
        <f t="shared" si="64"/>
        <v>0.87366680876698943</v>
      </c>
      <c r="AZ101" s="1004">
        <f t="shared" si="64"/>
        <v>0.91642281084180288</v>
      </c>
      <c r="BA101" s="1004">
        <f t="shared" si="64"/>
        <v>1.0240426171362711</v>
      </c>
      <c r="BB101" s="1004">
        <f t="shared" si="64"/>
        <v>0.94110408528072664</v>
      </c>
      <c r="BC101" s="1004">
        <f t="shared" si="64"/>
        <v>0.74611087066591031</v>
      </c>
      <c r="BD101" s="191">
        <f t="shared" si="64"/>
        <v>0.88978654129529589</v>
      </c>
      <c r="BE101" s="191">
        <f>BE99/BD99-1</f>
        <v>0.15948076017475787</v>
      </c>
      <c r="BF101" s="191">
        <f>BF99/BE99-1</f>
        <v>0.14778207162404855</v>
      </c>
      <c r="BG101" s="191">
        <f>BG99/BF99-1</f>
        <v>0.14787440379679873</v>
      </c>
      <c r="BH101" s="572"/>
    </row>
    <row r="102" spans="1:60" s="116" customFormat="1" hidden="1" outlineLevel="2" x14ac:dyDescent="0.25">
      <c r="A102" s="530"/>
      <c r="B102" s="637"/>
      <c r="C102" s="438"/>
      <c r="D102" s="438"/>
      <c r="E102" s="438"/>
      <c r="F102" s="438"/>
      <c r="G102" s="437"/>
      <c r="H102" s="437"/>
      <c r="I102" s="437"/>
      <c r="J102" s="437"/>
      <c r="K102" s="438"/>
      <c r="L102" s="437"/>
      <c r="M102" s="437"/>
      <c r="N102" s="437"/>
      <c r="O102" s="437"/>
      <c r="P102" s="438"/>
      <c r="Q102" s="437"/>
      <c r="R102" s="437"/>
      <c r="S102" s="437"/>
      <c r="T102" s="437"/>
      <c r="U102" s="438"/>
      <c r="V102" s="437"/>
      <c r="W102" s="437"/>
      <c r="X102" s="437"/>
      <c r="Y102" s="437"/>
      <c r="Z102" s="438"/>
      <c r="AA102" s="437"/>
      <c r="AB102" s="437"/>
      <c r="AC102" s="437"/>
      <c r="AD102" s="437"/>
      <c r="AE102" s="438"/>
      <c r="AF102" s="437"/>
      <c r="AG102" s="437"/>
      <c r="AH102" s="437"/>
      <c r="AI102" s="437"/>
      <c r="AJ102" s="438"/>
      <c r="AK102" s="437"/>
      <c r="AL102" s="437"/>
      <c r="AM102" s="437"/>
      <c r="AN102" s="437"/>
      <c r="AO102" s="438"/>
      <c r="AP102" s="437"/>
      <c r="AQ102" s="437"/>
      <c r="AR102" s="437"/>
      <c r="AS102" s="437"/>
      <c r="AT102" s="438"/>
      <c r="AU102" s="437"/>
      <c r="AV102" s="437"/>
      <c r="AW102" s="725"/>
      <c r="AX102" s="437"/>
      <c r="AY102" s="438"/>
      <c r="AZ102" s="437"/>
      <c r="BA102" s="437"/>
      <c r="BB102" s="437"/>
      <c r="BC102" s="437"/>
      <c r="BD102" s="438"/>
      <c r="BE102" s="438"/>
      <c r="BF102" s="438"/>
      <c r="BG102" s="438"/>
      <c r="BH102" s="368"/>
    </row>
    <row r="103" spans="1:60" s="356" customFormat="1" hidden="1" outlineLevel="2" x14ac:dyDescent="0.25">
      <c r="A103" s="223" t="s">
        <v>577</v>
      </c>
      <c r="B103" s="577"/>
      <c r="C103" s="440"/>
      <c r="D103" s="35">
        <f>D87/D99</f>
        <v>1</v>
      </c>
      <c r="E103" s="35">
        <f>E87/E99</f>
        <v>1</v>
      </c>
      <c r="F103" s="35">
        <f>F87/F99</f>
        <v>0.15873015873015872</v>
      </c>
      <c r="G103" s="439"/>
      <c r="H103" s="439"/>
      <c r="I103" s="439"/>
      <c r="J103" s="439"/>
      <c r="K103" s="440"/>
      <c r="L103" s="439"/>
      <c r="M103" s="439"/>
      <c r="N103" s="439"/>
      <c r="O103" s="439"/>
      <c r="P103" s="440"/>
      <c r="Q103" s="439"/>
      <c r="R103" s="439"/>
      <c r="S103" s="439"/>
      <c r="T103" s="439"/>
      <c r="U103" s="440"/>
      <c r="V103" s="439"/>
      <c r="W103" s="439"/>
      <c r="X103" s="439"/>
      <c r="Y103" s="439"/>
      <c r="Z103" s="440"/>
      <c r="AA103" s="439"/>
      <c r="AB103" s="439"/>
      <c r="AC103" s="439"/>
      <c r="AD103" s="439"/>
      <c r="AE103" s="440"/>
      <c r="AF103" s="439"/>
      <c r="AG103" s="439"/>
      <c r="AH103" s="439"/>
      <c r="AI103" s="439"/>
      <c r="AJ103" s="440"/>
      <c r="AK103" s="439"/>
      <c r="AL103" s="439"/>
      <c r="AM103" s="439"/>
      <c r="AN103" s="439"/>
      <c r="AO103" s="440"/>
      <c r="AP103" s="439"/>
      <c r="AQ103" s="439"/>
      <c r="AR103" s="439"/>
      <c r="AS103" s="439"/>
      <c r="AT103" s="440"/>
      <c r="AU103" s="439"/>
      <c r="AV103" s="439"/>
      <c r="AW103" s="726"/>
      <c r="AX103" s="439"/>
      <c r="AY103" s="440"/>
      <c r="AZ103" s="439"/>
      <c r="BA103" s="439"/>
      <c r="BB103" s="439"/>
      <c r="BC103" s="439"/>
      <c r="BD103" s="440"/>
      <c r="BE103" s="440"/>
      <c r="BF103" s="440"/>
      <c r="BG103" s="440"/>
      <c r="BH103" s="361"/>
    </row>
    <row r="104" spans="1:60" s="120" customFormat="1" hidden="1" outlineLevel="2" x14ac:dyDescent="0.25">
      <c r="A104" s="223" t="s">
        <v>534</v>
      </c>
      <c r="B104" s="639"/>
      <c r="C104" s="100"/>
      <c r="D104" s="100"/>
      <c r="E104" s="100"/>
      <c r="F104" s="93">
        <f t="shared" ref="F104:U104" si="65">F90/F99</f>
        <v>0.84126984126984128</v>
      </c>
      <c r="G104" s="366">
        <f t="shared" si="65"/>
        <v>1</v>
      </c>
      <c r="H104" s="366">
        <f t="shared" si="65"/>
        <v>1</v>
      </c>
      <c r="I104" s="366">
        <f t="shared" si="65"/>
        <v>1</v>
      </c>
      <c r="J104" s="366">
        <f t="shared" si="65"/>
        <v>1</v>
      </c>
      <c r="K104" s="93">
        <f t="shared" si="65"/>
        <v>1</v>
      </c>
      <c r="L104" s="366">
        <f t="shared" si="65"/>
        <v>1</v>
      </c>
      <c r="M104" s="366">
        <f t="shared" si="65"/>
        <v>1</v>
      </c>
      <c r="N104" s="366">
        <f t="shared" si="65"/>
        <v>1</v>
      </c>
      <c r="O104" s="366">
        <f t="shared" si="65"/>
        <v>1</v>
      </c>
      <c r="P104" s="93">
        <f t="shared" si="65"/>
        <v>1</v>
      </c>
      <c r="Q104" s="366">
        <f t="shared" si="65"/>
        <v>1</v>
      </c>
      <c r="R104" s="366">
        <f t="shared" si="65"/>
        <v>1</v>
      </c>
      <c r="S104" s="366">
        <f t="shared" si="65"/>
        <v>1</v>
      </c>
      <c r="T104" s="366">
        <f t="shared" si="65"/>
        <v>1</v>
      </c>
      <c r="U104" s="93">
        <f t="shared" si="65"/>
        <v>1</v>
      </c>
      <c r="V104" s="1005"/>
      <c r="W104" s="1005"/>
      <c r="X104" s="1005"/>
      <c r="Y104" s="1005"/>
      <c r="Z104" s="93">
        <f>Z90/Z99</f>
        <v>1</v>
      </c>
      <c r="AA104" s="1005"/>
      <c r="AB104" s="1005"/>
      <c r="AC104" s="367">
        <f t="shared" ref="AC104:BG104" si="66">AC90/AC99</f>
        <v>0.99150629375980415</v>
      </c>
      <c r="AD104" s="366">
        <f t="shared" si="66"/>
        <v>0.94854339773751128</v>
      </c>
      <c r="AE104" s="93">
        <f t="shared" si="66"/>
        <v>0.98289106145251393</v>
      </c>
      <c r="AF104" s="366">
        <f t="shared" si="66"/>
        <v>0.72723939060572729</v>
      </c>
      <c r="AG104" s="367">
        <f t="shared" si="66"/>
        <v>0.54746369701726849</v>
      </c>
      <c r="AH104" s="367">
        <f t="shared" si="66"/>
        <v>0.33076693524321099</v>
      </c>
      <c r="AI104" s="366">
        <f t="shared" si="66"/>
        <v>0.30348701712727832</v>
      </c>
      <c r="AJ104" s="93">
        <f t="shared" si="66"/>
        <v>0.40508582274974952</v>
      </c>
      <c r="AK104" s="366">
        <f t="shared" si="66"/>
        <v>0.19186277154508957</v>
      </c>
      <c r="AL104" s="367">
        <f t="shared" si="66"/>
        <v>0.18585091656529218</v>
      </c>
      <c r="AM104" s="367">
        <f t="shared" si="66"/>
        <v>0.17989216553824625</v>
      </c>
      <c r="AN104" s="366">
        <f t="shared" si="66"/>
        <v>0.1737365627369642</v>
      </c>
      <c r="AO104" s="93">
        <f t="shared" si="66"/>
        <v>0.1816127031790587</v>
      </c>
      <c r="AP104" s="366">
        <f t="shared" si="66"/>
        <v>0.13819833664798409</v>
      </c>
      <c r="AQ104" s="367">
        <f t="shared" si="66"/>
        <v>0.11677723867049543</v>
      </c>
      <c r="AR104" s="367">
        <f t="shared" si="66"/>
        <v>0.10942525771349566</v>
      </c>
      <c r="AS104" s="366">
        <f t="shared" si="66"/>
        <v>0.10497766609286699</v>
      </c>
      <c r="AT104" s="93">
        <f t="shared" si="66"/>
        <v>0.11425066096664245</v>
      </c>
      <c r="AU104" s="366">
        <f t="shared" si="66"/>
        <v>1.0980273370943925E-2</v>
      </c>
      <c r="AV104" s="367">
        <f t="shared" si="66"/>
        <v>9.4136231768866992E-3</v>
      </c>
      <c r="AW104" s="796">
        <f t="shared" si="66"/>
        <v>3.8481136413536544E-2</v>
      </c>
      <c r="AX104" s="1005">
        <f t="shared" si="66"/>
        <v>3.8075178224238497E-2</v>
      </c>
      <c r="AY104" s="100">
        <f t="shared" si="66"/>
        <v>2.6666040001196361E-2</v>
      </c>
      <c r="AZ104" s="1005">
        <f t="shared" si="66"/>
        <v>3.6480126445622034E-2</v>
      </c>
      <c r="BA104" s="1005">
        <f t="shared" si="66"/>
        <v>3.6480126445622041E-2</v>
      </c>
      <c r="BB104" s="1005">
        <f t="shared" si="66"/>
        <v>3.6480126445622041E-2</v>
      </c>
      <c r="BC104" s="1005">
        <f t="shared" si="66"/>
        <v>3.6480126445622034E-2</v>
      </c>
      <c r="BD104" s="100">
        <f t="shared" si="66"/>
        <v>3.6480126445622034E-2</v>
      </c>
      <c r="BE104" s="100">
        <f t="shared" si="66"/>
        <v>3.4608714925236102E-2</v>
      </c>
      <c r="BF104" s="100">
        <f t="shared" si="66"/>
        <v>3.3167957018089105E-2</v>
      </c>
      <c r="BG104" s="100">
        <f t="shared" si="66"/>
        <v>3.1784620860277231E-2</v>
      </c>
      <c r="BH104" s="366"/>
    </row>
    <row r="105" spans="1:60" s="120" customFormat="1" hidden="1" outlineLevel="2" x14ac:dyDescent="0.25">
      <c r="A105" s="223" t="s">
        <v>535</v>
      </c>
      <c r="B105" s="639"/>
      <c r="C105" s="100"/>
      <c r="D105" s="100"/>
      <c r="E105" s="100"/>
      <c r="F105" s="100"/>
      <c r="G105" s="1005"/>
      <c r="H105" s="1005"/>
      <c r="I105" s="1005"/>
      <c r="J105" s="1005"/>
      <c r="K105" s="100"/>
      <c r="L105" s="1005"/>
      <c r="M105" s="1005"/>
      <c r="N105" s="1005"/>
      <c r="O105" s="1005"/>
      <c r="P105" s="100"/>
      <c r="Q105" s="1005"/>
      <c r="R105" s="1005"/>
      <c r="S105" s="1005"/>
      <c r="T105" s="1005"/>
      <c r="U105" s="100"/>
      <c r="V105" s="1005"/>
      <c r="W105" s="1005"/>
      <c r="X105" s="1005"/>
      <c r="Y105" s="1005"/>
      <c r="Z105" s="100"/>
      <c r="AA105" s="1005"/>
      <c r="AB105" s="1005"/>
      <c r="AC105" s="367">
        <f t="shared" ref="AC105:BG105" si="67">AC93/AC99</f>
        <v>8.4937062401958911E-3</v>
      </c>
      <c r="AD105" s="366">
        <f t="shared" si="67"/>
        <v>5.1456602262488736E-2</v>
      </c>
      <c r="AE105" s="93">
        <f t="shared" si="67"/>
        <v>1.7108938547486033E-2</v>
      </c>
      <c r="AF105" s="366">
        <f t="shared" si="67"/>
        <v>0.27276060939427277</v>
      </c>
      <c r="AG105" s="367">
        <f t="shared" si="67"/>
        <v>0.45253630298273156</v>
      </c>
      <c r="AH105" s="367">
        <f t="shared" si="67"/>
        <v>0.66923306475678901</v>
      </c>
      <c r="AI105" s="366">
        <f t="shared" si="67"/>
        <v>0.69651298287272168</v>
      </c>
      <c r="AJ105" s="93">
        <f t="shared" si="67"/>
        <v>0.59491417725025053</v>
      </c>
      <c r="AK105" s="366">
        <f t="shared" si="67"/>
        <v>0.80813722845491043</v>
      </c>
      <c r="AL105" s="367">
        <f t="shared" si="67"/>
        <v>0.81414908343470782</v>
      </c>
      <c r="AM105" s="367">
        <f t="shared" si="67"/>
        <v>0.82010783446175373</v>
      </c>
      <c r="AN105" s="366">
        <f t="shared" si="67"/>
        <v>0.82626343726303586</v>
      </c>
      <c r="AO105" s="93">
        <f t="shared" si="67"/>
        <v>0.81838729682094136</v>
      </c>
      <c r="AP105" s="366">
        <f t="shared" si="67"/>
        <v>0.86180166335201591</v>
      </c>
      <c r="AQ105" s="367">
        <f t="shared" si="67"/>
        <v>0.88322276132950461</v>
      </c>
      <c r="AR105" s="367">
        <f t="shared" si="67"/>
        <v>0.89057474228650435</v>
      </c>
      <c r="AS105" s="366">
        <f t="shared" si="67"/>
        <v>0.89502233390713304</v>
      </c>
      <c r="AT105" s="93">
        <f t="shared" si="67"/>
        <v>0.88574933903335751</v>
      </c>
      <c r="AU105" s="366">
        <f t="shared" si="67"/>
        <v>0.98901972662905613</v>
      </c>
      <c r="AV105" s="367">
        <f t="shared" si="67"/>
        <v>0.99058637682311335</v>
      </c>
      <c r="AW105" s="796">
        <f t="shared" si="67"/>
        <v>0.96151886358646343</v>
      </c>
      <c r="AX105" s="1005">
        <f t="shared" si="67"/>
        <v>0.96192482177576155</v>
      </c>
      <c r="AY105" s="100">
        <f t="shared" si="67"/>
        <v>0.97333395999880368</v>
      </c>
      <c r="AZ105" s="1005">
        <f t="shared" si="67"/>
        <v>0.96351987355437796</v>
      </c>
      <c r="BA105" s="1005">
        <f t="shared" si="67"/>
        <v>0.96351987355437796</v>
      </c>
      <c r="BB105" s="1005">
        <f t="shared" si="67"/>
        <v>0.96351987355437796</v>
      </c>
      <c r="BC105" s="1005">
        <f t="shared" si="67"/>
        <v>0.96351987355437796</v>
      </c>
      <c r="BD105" s="100">
        <f t="shared" si="67"/>
        <v>0.96351987355437796</v>
      </c>
      <c r="BE105" s="100">
        <f t="shared" si="67"/>
        <v>0.95564143248097433</v>
      </c>
      <c r="BF105" s="100">
        <f t="shared" si="67"/>
        <v>0.95748807593597718</v>
      </c>
      <c r="BG105" s="100">
        <f t="shared" si="67"/>
        <v>0.95926112097652172</v>
      </c>
      <c r="BH105" s="366"/>
    </row>
    <row r="106" spans="1:60" s="120" customFormat="1" hidden="1" outlineLevel="2" x14ac:dyDescent="0.25">
      <c r="A106" s="223" t="s">
        <v>538</v>
      </c>
      <c r="B106" s="639"/>
      <c r="C106" s="100"/>
      <c r="D106" s="100"/>
      <c r="E106" s="100"/>
      <c r="F106" s="100"/>
      <c r="G106" s="1005"/>
      <c r="H106" s="1005"/>
      <c r="I106" s="1005"/>
      <c r="J106" s="1005"/>
      <c r="K106" s="100"/>
      <c r="L106" s="1005"/>
      <c r="M106" s="1005"/>
      <c r="N106" s="1005"/>
      <c r="O106" s="1005"/>
      <c r="P106" s="100"/>
      <c r="Q106" s="1005"/>
      <c r="R106" s="1005"/>
      <c r="S106" s="1005"/>
      <c r="T106" s="1005"/>
      <c r="U106" s="100"/>
      <c r="V106" s="1005"/>
      <c r="W106" s="1005"/>
      <c r="X106" s="1005"/>
      <c r="Y106" s="1005"/>
      <c r="Z106" s="100"/>
      <c r="AA106" s="1005"/>
      <c r="AB106" s="1005"/>
      <c r="AC106" s="1005"/>
      <c r="AD106" s="1005"/>
      <c r="AE106" s="100"/>
      <c r="AF106" s="1005"/>
      <c r="AG106" s="1005"/>
      <c r="AH106" s="1005"/>
      <c r="AI106" s="1005"/>
      <c r="AJ106" s="100"/>
      <c r="AK106" s="1005"/>
      <c r="AL106" s="1005"/>
      <c r="AM106" s="1005"/>
      <c r="AN106" s="1005"/>
      <c r="AO106" s="100"/>
      <c r="AP106" s="1005"/>
      <c r="AQ106" s="1005"/>
      <c r="AR106" s="1005"/>
      <c r="AS106" s="1005"/>
      <c r="AT106" s="100"/>
      <c r="AU106" s="1005"/>
      <c r="AV106" s="1005"/>
      <c r="AW106" s="727"/>
      <c r="AX106" s="1005"/>
      <c r="AY106" s="100"/>
      <c r="AZ106" s="1005"/>
      <c r="BA106" s="1005"/>
      <c r="BB106" s="1005"/>
      <c r="BC106" s="1005"/>
      <c r="BD106" s="100"/>
      <c r="BE106" s="100">
        <f t="shared" ref="BE106:BG106" si="68">BE96/BE99</f>
        <v>9.7498525937895954E-3</v>
      </c>
      <c r="BF106" s="100">
        <f t="shared" si="68"/>
        <v>9.3439670459336405E-3</v>
      </c>
      <c r="BG106" s="100">
        <f t="shared" si="68"/>
        <v>8.9542581632010339E-3</v>
      </c>
      <c r="BH106" s="366"/>
    </row>
    <row r="107" spans="1:60" s="114" customFormat="1" hidden="1" outlineLevel="2" x14ac:dyDescent="0.25">
      <c r="A107" s="38" t="s">
        <v>536</v>
      </c>
      <c r="B107" s="640"/>
      <c r="C107" s="569"/>
      <c r="D107" s="565">
        <f t="shared" ref="D107:U107" si="69">SUM(D103:D106)</f>
        <v>1</v>
      </c>
      <c r="E107" s="565">
        <f t="shared" si="69"/>
        <v>1</v>
      </c>
      <c r="F107" s="565">
        <f t="shared" si="69"/>
        <v>1</v>
      </c>
      <c r="G107" s="566">
        <f t="shared" si="69"/>
        <v>1</v>
      </c>
      <c r="H107" s="566">
        <f t="shared" si="69"/>
        <v>1</v>
      </c>
      <c r="I107" s="566">
        <f t="shared" si="69"/>
        <v>1</v>
      </c>
      <c r="J107" s="566">
        <f t="shared" si="69"/>
        <v>1</v>
      </c>
      <c r="K107" s="565">
        <f t="shared" si="69"/>
        <v>1</v>
      </c>
      <c r="L107" s="566">
        <f t="shared" si="69"/>
        <v>1</v>
      </c>
      <c r="M107" s="566">
        <f t="shared" si="69"/>
        <v>1</v>
      </c>
      <c r="N107" s="566">
        <f t="shared" si="69"/>
        <v>1</v>
      </c>
      <c r="O107" s="566">
        <f t="shared" si="69"/>
        <v>1</v>
      </c>
      <c r="P107" s="565">
        <f t="shared" si="69"/>
        <v>1</v>
      </c>
      <c r="Q107" s="566">
        <f t="shared" si="69"/>
        <v>1</v>
      </c>
      <c r="R107" s="566">
        <f t="shared" si="69"/>
        <v>1</v>
      </c>
      <c r="S107" s="566">
        <f t="shared" si="69"/>
        <v>1</v>
      </c>
      <c r="T107" s="566">
        <f t="shared" si="69"/>
        <v>1</v>
      </c>
      <c r="U107" s="565">
        <f t="shared" si="69"/>
        <v>1</v>
      </c>
      <c r="V107" s="568"/>
      <c r="W107" s="568"/>
      <c r="X107" s="568"/>
      <c r="Y107" s="568"/>
      <c r="Z107" s="565">
        <f>SUM(Z104:Z106)</f>
        <v>1</v>
      </c>
      <c r="AA107" s="568"/>
      <c r="AB107" s="568"/>
      <c r="AC107" s="567">
        <f t="shared" ref="AC107:BG107" si="70">SUM(AC104:AC106)</f>
        <v>1</v>
      </c>
      <c r="AD107" s="566">
        <f t="shared" si="70"/>
        <v>1</v>
      </c>
      <c r="AE107" s="565">
        <f t="shared" si="70"/>
        <v>1</v>
      </c>
      <c r="AF107" s="566">
        <f t="shared" si="70"/>
        <v>1</v>
      </c>
      <c r="AG107" s="567">
        <f t="shared" si="70"/>
        <v>1</v>
      </c>
      <c r="AH107" s="567">
        <f t="shared" si="70"/>
        <v>1</v>
      </c>
      <c r="AI107" s="566">
        <f t="shared" si="70"/>
        <v>1</v>
      </c>
      <c r="AJ107" s="565">
        <f t="shared" si="70"/>
        <v>1</v>
      </c>
      <c r="AK107" s="566">
        <f t="shared" si="70"/>
        <v>1</v>
      </c>
      <c r="AL107" s="567">
        <f t="shared" si="70"/>
        <v>1</v>
      </c>
      <c r="AM107" s="567">
        <f t="shared" si="70"/>
        <v>1</v>
      </c>
      <c r="AN107" s="566">
        <f t="shared" si="70"/>
        <v>1</v>
      </c>
      <c r="AO107" s="565">
        <f t="shared" si="70"/>
        <v>1</v>
      </c>
      <c r="AP107" s="566">
        <f t="shared" si="70"/>
        <v>1</v>
      </c>
      <c r="AQ107" s="567">
        <f t="shared" si="70"/>
        <v>1</v>
      </c>
      <c r="AR107" s="567">
        <f t="shared" si="70"/>
        <v>1</v>
      </c>
      <c r="AS107" s="566">
        <f t="shared" si="70"/>
        <v>1</v>
      </c>
      <c r="AT107" s="565">
        <f t="shared" si="70"/>
        <v>1</v>
      </c>
      <c r="AU107" s="566">
        <f t="shared" si="70"/>
        <v>1</v>
      </c>
      <c r="AV107" s="567">
        <f t="shared" si="70"/>
        <v>1</v>
      </c>
      <c r="AW107" s="797">
        <f t="shared" si="70"/>
        <v>1</v>
      </c>
      <c r="AX107" s="568">
        <f t="shared" si="70"/>
        <v>1</v>
      </c>
      <c r="AY107" s="569">
        <f t="shared" si="70"/>
        <v>1</v>
      </c>
      <c r="AZ107" s="568">
        <f t="shared" si="70"/>
        <v>1</v>
      </c>
      <c r="BA107" s="568">
        <f t="shared" si="70"/>
        <v>1</v>
      </c>
      <c r="BB107" s="568">
        <f t="shared" si="70"/>
        <v>1</v>
      </c>
      <c r="BC107" s="568">
        <f t="shared" si="70"/>
        <v>1</v>
      </c>
      <c r="BD107" s="569">
        <f t="shared" si="70"/>
        <v>1</v>
      </c>
      <c r="BE107" s="569">
        <f t="shared" si="70"/>
        <v>1</v>
      </c>
      <c r="BF107" s="569">
        <f t="shared" si="70"/>
        <v>0.99999999999999989</v>
      </c>
      <c r="BG107" s="569">
        <f t="shared" si="70"/>
        <v>1</v>
      </c>
      <c r="BH107" s="365"/>
    </row>
    <row r="108" spans="1:60" s="959" customFormat="1" hidden="1" outlineLevel="1" collapsed="1" x14ac:dyDescent="0.25">
      <c r="A108" s="960"/>
      <c r="B108" s="955"/>
      <c r="C108" s="956"/>
      <c r="D108" s="956"/>
      <c r="E108" s="956"/>
      <c r="F108" s="956"/>
      <c r="G108" s="957"/>
      <c r="H108" s="957"/>
      <c r="I108" s="957"/>
      <c r="J108" s="957"/>
      <c r="K108" s="956"/>
      <c r="L108" s="957"/>
      <c r="M108" s="957"/>
      <c r="N108" s="957"/>
      <c r="O108" s="957"/>
      <c r="P108" s="956"/>
      <c r="Q108" s="957"/>
      <c r="R108" s="957"/>
      <c r="S108" s="957"/>
      <c r="T108" s="957"/>
      <c r="U108" s="956"/>
      <c r="V108" s="957"/>
      <c r="W108" s="957"/>
      <c r="X108" s="957"/>
      <c r="Y108" s="957"/>
      <c r="Z108" s="956"/>
      <c r="AA108" s="957"/>
      <c r="AB108" s="957"/>
      <c r="AC108" s="957"/>
      <c r="AD108" s="957"/>
      <c r="AE108" s="956"/>
      <c r="AF108" s="957"/>
      <c r="AG108" s="957"/>
      <c r="AH108" s="957"/>
      <c r="AI108" s="957"/>
      <c r="AJ108" s="956"/>
      <c r="AK108" s="957"/>
      <c r="AL108" s="957"/>
      <c r="AM108" s="957"/>
      <c r="AN108" s="957"/>
      <c r="AO108" s="956"/>
      <c r="AP108" s="957"/>
      <c r="AQ108" s="957"/>
      <c r="AR108" s="957"/>
      <c r="AS108" s="957"/>
      <c r="AT108" s="956"/>
      <c r="AU108" s="957"/>
      <c r="AV108" s="957"/>
      <c r="AW108" s="961"/>
      <c r="AX108" s="957"/>
      <c r="AY108" s="956"/>
      <c r="AZ108" s="957"/>
      <c r="BA108" s="957"/>
      <c r="BB108" s="957"/>
      <c r="BC108" s="957"/>
      <c r="BD108" s="956"/>
      <c r="BE108" s="956"/>
      <c r="BF108" s="956"/>
      <c r="BG108" s="956"/>
      <c r="BH108" s="958"/>
    </row>
    <row r="109" spans="1:60" s="116" customFormat="1" hidden="1" outlineLevel="1" x14ac:dyDescent="0.25">
      <c r="A109" s="530" t="s">
        <v>705</v>
      </c>
      <c r="B109" s="637"/>
      <c r="C109" s="438"/>
      <c r="D109" s="438"/>
      <c r="E109" s="438"/>
      <c r="F109" s="438"/>
      <c r="G109" s="437"/>
      <c r="H109" s="437"/>
      <c r="I109" s="437"/>
      <c r="J109" s="437"/>
      <c r="K109" s="438"/>
      <c r="L109" s="437"/>
      <c r="M109" s="437"/>
      <c r="N109" s="437"/>
      <c r="O109" s="437"/>
      <c r="P109" s="438"/>
      <c r="Q109" s="437"/>
      <c r="R109" s="437"/>
      <c r="S109" s="437"/>
      <c r="T109" s="437"/>
      <c r="U109" s="438"/>
      <c r="V109" s="437"/>
      <c r="W109" s="437"/>
      <c r="X109" s="437"/>
      <c r="Y109" s="437"/>
      <c r="Z109" s="438"/>
      <c r="AA109" s="437"/>
      <c r="AB109" s="437"/>
      <c r="AC109" s="437"/>
      <c r="AD109" s="437"/>
      <c r="AE109" s="438"/>
      <c r="AF109" s="437">
        <f t="shared" ref="AF109:BG109" si="71">AF99-AF142</f>
        <v>27597.239999999998</v>
      </c>
      <c r="AG109" s="437">
        <f t="shared" si="71"/>
        <v>38414</v>
      </c>
      <c r="AH109" s="437">
        <f t="shared" si="71"/>
        <v>81215</v>
      </c>
      <c r="AI109" s="437">
        <f t="shared" si="71"/>
        <v>87327</v>
      </c>
      <c r="AJ109" s="438">
        <f t="shared" si="71"/>
        <v>234553.24</v>
      </c>
      <c r="AK109" s="437">
        <f t="shared" si="71"/>
        <v>61656</v>
      </c>
      <c r="AL109" s="437">
        <f t="shared" si="71"/>
        <v>89214</v>
      </c>
      <c r="AM109" s="437">
        <f t="shared" si="71"/>
        <v>88100</v>
      </c>
      <c r="AN109" s="437">
        <f t="shared" si="71"/>
        <v>103247</v>
      </c>
      <c r="AO109" s="438">
        <f t="shared" si="71"/>
        <v>342217</v>
      </c>
      <c r="AP109" s="437">
        <f t="shared" si="71"/>
        <v>82392</v>
      </c>
      <c r="AQ109" s="437">
        <f t="shared" si="71"/>
        <v>86175</v>
      </c>
      <c r="AR109" s="437">
        <f t="shared" si="71"/>
        <v>129579</v>
      </c>
      <c r="AS109" s="437">
        <f t="shared" si="71"/>
        <v>167031</v>
      </c>
      <c r="AT109" s="438">
        <f t="shared" si="71"/>
        <v>465177</v>
      </c>
      <c r="AU109" s="437">
        <f t="shared" si="71"/>
        <v>171275</v>
      </c>
      <c r="AV109" s="437">
        <f t="shared" si="71"/>
        <v>186812</v>
      </c>
      <c r="AW109" s="725">
        <f t="shared" si="71"/>
        <v>224733</v>
      </c>
      <c r="AX109" s="437">
        <f t="shared" si="71"/>
        <v>285347</v>
      </c>
      <c r="AY109" s="438">
        <f t="shared" si="71"/>
        <v>868167</v>
      </c>
      <c r="AZ109" s="437">
        <f t="shared" si="71"/>
        <v>327655.5</v>
      </c>
      <c r="BA109" s="437">
        <f t="shared" si="71"/>
        <v>376803.87499999994</v>
      </c>
      <c r="BB109" s="437">
        <f t="shared" si="71"/>
        <v>433324.05624999991</v>
      </c>
      <c r="BC109" s="437">
        <f t="shared" si="71"/>
        <v>498322.81468749989</v>
      </c>
      <c r="BD109" s="438">
        <f t="shared" si="71"/>
        <v>1636106.2459374997</v>
      </c>
      <c r="BE109" s="438">
        <f t="shared" si="71"/>
        <v>1898101.0642343746</v>
      </c>
      <c r="BF109" s="438">
        <f t="shared" si="71"/>
        <v>2178870.3584164055</v>
      </c>
      <c r="BG109" s="438">
        <f t="shared" si="71"/>
        <v>2501359.7801804286</v>
      </c>
      <c r="BH109" s="368"/>
    </row>
    <row r="110" spans="1:60" s="574" customFormat="1" hidden="1" outlineLevel="1" x14ac:dyDescent="0.25">
      <c r="A110" s="372" t="s">
        <v>704</v>
      </c>
      <c r="B110" s="641"/>
      <c r="C110" s="191"/>
      <c r="D110" s="191"/>
      <c r="E110" s="191"/>
      <c r="F110" s="191"/>
      <c r="G110" s="1004"/>
      <c r="H110" s="1004"/>
      <c r="I110" s="1004"/>
      <c r="J110" s="1004"/>
      <c r="K110" s="191"/>
      <c r="L110" s="1004"/>
      <c r="M110" s="1004"/>
      <c r="N110" s="1004"/>
      <c r="O110" s="1004"/>
      <c r="P110" s="191"/>
      <c r="Q110" s="1004"/>
      <c r="R110" s="1004"/>
      <c r="S110" s="1004"/>
      <c r="T110" s="1004"/>
      <c r="U110" s="191"/>
      <c r="V110" s="1004"/>
      <c r="W110" s="1004"/>
      <c r="X110" s="1004"/>
      <c r="Y110" s="1004"/>
      <c r="Z110" s="191"/>
      <c r="AA110" s="1004"/>
      <c r="AB110" s="1004"/>
      <c r="AC110" s="1004"/>
      <c r="AD110" s="1004"/>
      <c r="AE110" s="191"/>
      <c r="AF110" s="1004"/>
      <c r="AG110" s="573">
        <f>AG109/AF109-1</f>
        <v>0.39195078928182681</v>
      </c>
      <c r="AH110" s="573">
        <f>AH109/AG109-1</f>
        <v>1.1142031550997031</v>
      </c>
      <c r="AI110" s="572">
        <f>AI109/AH109-1</f>
        <v>7.5257033799174922E-2</v>
      </c>
      <c r="AJ110" s="191"/>
      <c r="AK110" s="572">
        <f>AK109/AI109-1</f>
        <v>-0.29396406609639625</v>
      </c>
      <c r="AL110" s="573">
        <f>AL109/AK109-1</f>
        <v>0.44696379914363571</v>
      </c>
      <c r="AM110" s="573">
        <f>AM109/AL109-1</f>
        <v>-1.2486829421391232E-2</v>
      </c>
      <c r="AN110" s="572">
        <f>AN109/AM109-1</f>
        <v>0.1719296254256526</v>
      </c>
      <c r="AO110" s="191"/>
      <c r="AP110" s="572">
        <f>AP109/AN109-1</f>
        <v>-0.20199134115276962</v>
      </c>
      <c r="AQ110" s="573">
        <f>AQ109/AP109-1</f>
        <v>4.5914651907952297E-2</v>
      </c>
      <c r="AR110" s="573">
        <f>AR109/AQ109-1</f>
        <v>0.50367275892080077</v>
      </c>
      <c r="AS110" s="572">
        <f>AS109/AR109-1</f>
        <v>0.2890283147732271</v>
      </c>
      <c r="AT110" s="191"/>
      <c r="AU110" s="572">
        <f>AU109/AS109-1</f>
        <v>2.5408457112751526E-2</v>
      </c>
      <c r="AV110" s="573">
        <f>AV109/AU109-1</f>
        <v>9.0713764413954179E-2</v>
      </c>
      <c r="AW110" s="844">
        <f>AW109/AV109-1</f>
        <v>0.20299017193756286</v>
      </c>
      <c r="AX110" s="1004">
        <f>AX109/AW109-1</f>
        <v>0.26971561808902123</v>
      </c>
      <c r="AY110" s="191"/>
      <c r="AZ110" s="1004">
        <f>AZ109/AX109-1</f>
        <v>0.1482703515369006</v>
      </c>
      <c r="BA110" s="1004">
        <f>BA109/AZ109-1</f>
        <v>0.1500001525993</v>
      </c>
      <c r="BB110" s="1004">
        <f>BB109/BA109-1</f>
        <v>0.14999893843979173</v>
      </c>
      <c r="BC110" s="1004">
        <f>BC109/BB109-1</f>
        <v>0.1500003461612569</v>
      </c>
      <c r="BD110" s="191"/>
      <c r="BE110" s="191"/>
      <c r="BF110" s="191"/>
      <c r="BG110" s="191"/>
      <c r="BH110" s="572"/>
    </row>
    <row r="111" spans="1:60" s="574" customFormat="1" hidden="1" outlineLevel="1" x14ac:dyDescent="0.25">
      <c r="A111" s="372" t="s">
        <v>706</v>
      </c>
      <c r="B111" s="641"/>
      <c r="C111" s="191"/>
      <c r="D111" s="191"/>
      <c r="E111" s="191"/>
      <c r="F111" s="191"/>
      <c r="G111" s="1004"/>
      <c r="H111" s="1004"/>
      <c r="I111" s="1004"/>
      <c r="J111" s="1004"/>
      <c r="K111" s="191"/>
      <c r="L111" s="1004"/>
      <c r="M111" s="1004"/>
      <c r="N111" s="1004"/>
      <c r="O111" s="1004"/>
      <c r="P111" s="191"/>
      <c r="Q111" s="1004"/>
      <c r="R111" s="1004"/>
      <c r="S111" s="1004"/>
      <c r="T111" s="1004"/>
      <c r="U111" s="191"/>
      <c r="V111" s="1004"/>
      <c r="W111" s="1004"/>
      <c r="X111" s="1004"/>
      <c r="Y111" s="1004"/>
      <c r="Z111" s="191"/>
      <c r="AA111" s="1004"/>
      <c r="AB111" s="1004"/>
      <c r="AC111" s="1004"/>
      <c r="AD111" s="1004"/>
      <c r="AE111" s="191"/>
      <c r="AF111" s="1004"/>
      <c r="AG111" s="1004"/>
      <c r="AH111" s="1004"/>
      <c r="AI111" s="1004"/>
      <c r="AJ111" s="191"/>
      <c r="AK111" s="572">
        <f t="shared" ref="AK111:BD111" si="72">AK109/AF109-1</f>
        <v>1.2341364571239732</v>
      </c>
      <c r="AL111" s="573">
        <f t="shared" si="72"/>
        <v>1.3224345290779405</v>
      </c>
      <c r="AM111" s="573">
        <f t="shared" si="72"/>
        <v>8.4774979991380839E-2</v>
      </c>
      <c r="AN111" s="572">
        <f t="shared" si="72"/>
        <v>0.18230329680396662</v>
      </c>
      <c r="AO111" s="571">
        <f t="shared" si="72"/>
        <v>0.4590162983892272</v>
      </c>
      <c r="AP111" s="572">
        <f t="shared" si="72"/>
        <v>0.33631763332035813</v>
      </c>
      <c r="AQ111" s="573">
        <f t="shared" si="72"/>
        <v>-3.4064160333579951E-2</v>
      </c>
      <c r="AR111" s="573">
        <f t="shared" si="72"/>
        <v>0.47081725312145295</v>
      </c>
      <c r="AS111" s="572">
        <f t="shared" si="72"/>
        <v>0.61778066190785208</v>
      </c>
      <c r="AT111" s="571">
        <f t="shared" si="72"/>
        <v>0.35930418418722621</v>
      </c>
      <c r="AU111" s="572">
        <f t="shared" si="72"/>
        <v>1.078781920574813</v>
      </c>
      <c r="AV111" s="573">
        <f t="shared" si="72"/>
        <v>1.1678212938787351</v>
      </c>
      <c r="AW111" s="844">
        <f t="shared" si="72"/>
        <v>0.73433195193665646</v>
      </c>
      <c r="AX111" s="1004">
        <f t="shared" si="72"/>
        <v>0.70834755225077983</v>
      </c>
      <c r="AY111" s="191">
        <f t="shared" si="72"/>
        <v>0.86631540252420036</v>
      </c>
      <c r="AZ111" s="1004">
        <f t="shared" si="72"/>
        <v>0.91303751277185818</v>
      </c>
      <c r="BA111" s="1004">
        <f t="shared" si="72"/>
        <v>1.0170217919619722</v>
      </c>
      <c r="BB111" s="1004">
        <f t="shared" si="72"/>
        <v>0.92817279282526344</v>
      </c>
      <c r="BC111" s="1004">
        <f t="shared" si="72"/>
        <v>0.74637481623251656</v>
      </c>
      <c r="BD111" s="191">
        <f t="shared" si="72"/>
        <v>0.88455244893839513</v>
      </c>
      <c r="BE111" s="191">
        <f>BE109/BD109-1</f>
        <v>0.16013313251961225</v>
      </c>
      <c r="BF111" s="191">
        <f>BF109/BE109-1</f>
        <v>0.14792115102431769</v>
      </c>
      <c r="BG111" s="191">
        <f>BG109/BF109-1</f>
        <v>0.14800762262808842</v>
      </c>
      <c r="BH111" s="572"/>
    </row>
    <row r="112" spans="1:60" s="116" customFormat="1" hidden="1" outlineLevel="1" x14ac:dyDescent="0.25">
      <c r="A112" s="530"/>
      <c r="B112" s="637"/>
      <c r="C112" s="438"/>
      <c r="D112" s="438"/>
      <c r="E112" s="438"/>
      <c r="F112" s="438"/>
      <c r="G112" s="437"/>
      <c r="H112" s="437"/>
      <c r="I112" s="437"/>
      <c r="J112" s="437"/>
      <c r="K112" s="438"/>
      <c r="L112" s="437"/>
      <c r="M112" s="437"/>
      <c r="N112" s="437"/>
      <c r="O112" s="437"/>
      <c r="P112" s="438"/>
      <c r="Q112" s="437"/>
      <c r="R112" s="437"/>
      <c r="S112" s="437"/>
      <c r="T112" s="437"/>
      <c r="U112" s="438"/>
      <c r="V112" s="437"/>
      <c r="W112" s="437"/>
      <c r="X112" s="437"/>
      <c r="Y112" s="437"/>
      <c r="Z112" s="438"/>
      <c r="AA112" s="437"/>
      <c r="AB112" s="437"/>
      <c r="AC112" s="437"/>
      <c r="AD112" s="437"/>
      <c r="AE112" s="438"/>
      <c r="AF112" s="437"/>
      <c r="AG112" s="437"/>
      <c r="AH112" s="437"/>
      <c r="AI112" s="437"/>
      <c r="AJ112" s="438"/>
      <c r="AK112" s="437"/>
      <c r="AL112" s="437"/>
      <c r="AM112" s="437"/>
      <c r="AN112" s="437"/>
      <c r="AO112" s="438"/>
      <c r="AP112" s="437"/>
      <c r="AQ112" s="437"/>
      <c r="AR112" s="437"/>
      <c r="AS112" s="437"/>
      <c r="AT112" s="438"/>
      <c r="AU112" s="437"/>
      <c r="AV112" s="437"/>
      <c r="AW112" s="725"/>
      <c r="AX112" s="437"/>
      <c r="AY112" s="438"/>
      <c r="AZ112" s="437"/>
      <c r="BA112" s="437"/>
      <c r="BB112" s="437"/>
      <c r="BC112" s="437"/>
      <c r="BD112" s="438"/>
      <c r="BE112" s="438"/>
      <c r="BF112" s="438"/>
      <c r="BG112" s="438"/>
      <c r="BH112" s="368"/>
    </row>
    <row r="113" spans="1:60" s="117" customFormat="1" hidden="1" outlineLevel="1" x14ac:dyDescent="0.25">
      <c r="A113" s="575" t="s">
        <v>601</v>
      </c>
      <c r="B113" s="576"/>
      <c r="C113" s="1040"/>
      <c r="D113" s="1040"/>
      <c r="E113" s="1040">
        <f t="shared" ref="E113:AE113" si="73">E125*1000/E99</f>
        <v>228.56615384615384</v>
      </c>
      <c r="F113" s="1040">
        <f t="shared" si="73"/>
        <v>122.44412698412698</v>
      </c>
      <c r="G113" s="1041">
        <f t="shared" si="73"/>
        <v>113.30673469387754</v>
      </c>
      <c r="H113" s="1041">
        <f t="shared" si="73"/>
        <v>77.96796116504855</v>
      </c>
      <c r="I113" s="1041">
        <f t="shared" si="73"/>
        <v>78.217454545454544</v>
      </c>
      <c r="J113" s="1041">
        <f t="shared" si="73"/>
        <v>88.632037144515394</v>
      </c>
      <c r="K113" s="1040">
        <f t="shared" si="73"/>
        <v>89.019962570180908</v>
      </c>
      <c r="L113" s="1041">
        <f t="shared" si="73"/>
        <v>91.198853956945953</v>
      </c>
      <c r="M113" s="1041">
        <f t="shared" si="73"/>
        <v>96.032326164401638</v>
      </c>
      <c r="N113" s="1041">
        <f t="shared" si="73"/>
        <v>102.75080282594733</v>
      </c>
      <c r="O113" s="1041">
        <f t="shared" si="73"/>
        <v>90.542607280862313</v>
      </c>
      <c r="P113" s="1040">
        <f t="shared" si="73"/>
        <v>94.993271205180861</v>
      </c>
      <c r="Q113" s="1041">
        <f t="shared" si="73"/>
        <v>88.931806869089101</v>
      </c>
      <c r="R113" s="1041">
        <f t="shared" si="73"/>
        <v>76.14377384668748</v>
      </c>
      <c r="S113" s="1041">
        <f t="shared" si="73"/>
        <v>73.477117986727563</v>
      </c>
      <c r="T113" s="1041">
        <f t="shared" si="73"/>
        <v>63.909371781668384</v>
      </c>
      <c r="U113" s="1040">
        <f t="shared" si="73"/>
        <v>73.847625251687788</v>
      </c>
      <c r="V113" s="1041">
        <f t="shared" si="73"/>
        <v>69.235087719298249</v>
      </c>
      <c r="W113" s="1041">
        <f t="shared" si="73"/>
        <v>82.061658103041239</v>
      </c>
      <c r="X113" s="1041">
        <f t="shared" si="73"/>
        <v>77.25079569719189</v>
      </c>
      <c r="Y113" s="1041">
        <f t="shared" si="73"/>
        <v>78.353558558558561</v>
      </c>
      <c r="Z113" s="1040">
        <f t="shared" si="73"/>
        <v>73.305182115079418</v>
      </c>
      <c r="AA113" s="1041">
        <f t="shared" si="73"/>
        <v>81.4024</v>
      </c>
      <c r="AB113" s="1041">
        <f t="shared" si="73"/>
        <v>91.538727272727272</v>
      </c>
      <c r="AC113" s="1041">
        <f t="shared" si="73"/>
        <v>79.455599341929073</v>
      </c>
      <c r="AD113" s="1041">
        <f t="shared" si="73"/>
        <v>80.392064604398172</v>
      </c>
      <c r="AE113" s="1040">
        <f t="shared" si="73"/>
        <v>82.778088144009928</v>
      </c>
      <c r="AF113" s="1041">
        <f t="shared" ref="AF113:AW113" si="74">AF121*1000/AF109</f>
        <v>89.920296377463842</v>
      </c>
      <c r="AG113" s="1041">
        <f t="shared" si="74"/>
        <v>79.758811891497885</v>
      </c>
      <c r="AH113" s="1041">
        <f t="shared" si="74"/>
        <v>70.046272240349694</v>
      </c>
      <c r="AI113" s="1041">
        <f t="shared" si="74"/>
        <v>68.463235883518237</v>
      </c>
      <c r="AJ113" s="1040">
        <f t="shared" si="74"/>
        <v>73.385914430344258</v>
      </c>
      <c r="AK113" s="1041">
        <f t="shared" si="74"/>
        <v>53.405345789541968</v>
      </c>
      <c r="AL113" s="1041">
        <f t="shared" si="74"/>
        <v>56.681776402806733</v>
      </c>
      <c r="AM113" s="1041">
        <f t="shared" si="74"/>
        <v>56.730987514188421</v>
      </c>
      <c r="AN113" s="1041">
        <f t="shared" si="74"/>
        <v>58.214107915968491</v>
      </c>
      <c r="AO113" s="1040">
        <f t="shared" si="74"/>
        <v>56.566447604882285</v>
      </c>
      <c r="AP113" s="1041">
        <f t="shared" si="74"/>
        <v>55.09030002912904</v>
      </c>
      <c r="AQ113" s="1041">
        <f t="shared" si="74"/>
        <v>52.022048157818389</v>
      </c>
      <c r="AR113" s="1041">
        <f t="shared" si="74"/>
        <v>53.627516804420466</v>
      </c>
      <c r="AS113" s="1041">
        <f t="shared" si="74"/>
        <v>51.685016553813362</v>
      </c>
      <c r="AT113" s="1040">
        <f t="shared" si="74"/>
        <v>52.891694989219154</v>
      </c>
      <c r="AU113" s="1041">
        <f t="shared" si="74"/>
        <v>47.800321121004231</v>
      </c>
      <c r="AV113" s="1041">
        <f t="shared" si="74"/>
        <v>50.960323747939107</v>
      </c>
      <c r="AW113" s="1042">
        <f t="shared" si="74"/>
        <v>50.695714470060025</v>
      </c>
      <c r="AX113" s="1041">
        <f>AS113*(1+AX115)</f>
        <v>49.100765726122695</v>
      </c>
      <c r="AY113" s="1040">
        <f>AY121*1000/AY109</f>
        <v>49.657215947682808</v>
      </c>
      <c r="AZ113" s="1041">
        <f>AU113*(1+AZ115)</f>
        <v>55.448372500364904</v>
      </c>
      <c r="BA113" s="1041">
        <f>AV113*(1+BA115)</f>
        <v>56.056356122733021</v>
      </c>
      <c r="BB113" s="1041">
        <f>AW113*(1+BB115)</f>
        <v>58.300071640569023</v>
      </c>
      <c r="BC113" s="1041">
        <f>AX113*(1+BC115)</f>
        <v>56.95688824230232</v>
      </c>
      <c r="BD113" s="1040">
        <f>BD121*1000/BD109</f>
        <v>56.803130627784249</v>
      </c>
      <c r="BE113" s="1040">
        <f>BD113*(1+BE115)</f>
        <v>59.643287159173461</v>
      </c>
      <c r="BF113" s="1040">
        <f>BE113*(1+BF115)</f>
        <v>62.625451517132134</v>
      </c>
      <c r="BG113" s="1040">
        <f>BF113*(1+BG115)</f>
        <v>65.756724092988748</v>
      </c>
      <c r="BH113" s="570"/>
    </row>
    <row r="114" spans="1:60" s="574" customFormat="1" hidden="1" outlineLevel="1" x14ac:dyDescent="0.25">
      <c r="A114" s="372" t="s">
        <v>709</v>
      </c>
      <c r="B114" s="641"/>
      <c r="C114" s="191"/>
      <c r="D114" s="191"/>
      <c r="E114" s="191"/>
      <c r="F114" s="191"/>
      <c r="G114" s="1004"/>
      <c r="H114" s="572">
        <f>H113/G113-1</f>
        <v>-0.31188590531978766</v>
      </c>
      <c r="I114" s="572">
        <f>I113/H113-1</f>
        <v>3.1999474742945289E-3</v>
      </c>
      <c r="J114" s="572">
        <f>J113/I113-1</f>
        <v>0.13314908621845545</v>
      </c>
      <c r="K114" s="191"/>
      <c r="L114" s="572">
        <f>L113/J113-1</f>
        <v>2.8960372514572175E-2</v>
      </c>
      <c r="M114" s="572">
        <f>M113/L113-1</f>
        <v>5.2999264768584853E-2</v>
      </c>
      <c r="N114" s="572">
        <f>N113/M113-1</f>
        <v>6.9960574005507814E-2</v>
      </c>
      <c r="O114" s="572">
        <f>O113/N113-1</f>
        <v>-0.11881362684596097</v>
      </c>
      <c r="P114" s="191"/>
      <c r="Q114" s="572">
        <f>Q113/O113-1</f>
        <v>-1.7790523822409088E-2</v>
      </c>
      <c r="R114" s="572">
        <f>R113/Q113-1</f>
        <v>-0.14379594289842867</v>
      </c>
      <c r="S114" s="572">
        <f>S113/R113-1</f>
        <v>-3.5021325122775337E-2</v>
      </c>
      <c r="T114" s="572">
        <f>T113/S113-1</f>
        <v>-0.13021395595275576</v>
      </c>
      <c r="U114" s="191"/>
      <c r="V114" s="572">
        <f>V113/T113-1</f>
        <v>8.3332315576875704E-2</v>
      </c>
      <c r="W114" s="573">
        <f>W113/V113-1</f>
        <v>0.18526112707109021</v>
      </c>
      <c r="X114" s="573">
        <f>X113/W113-1</f>
        <v>-5.8624971966914963E-2</v>
      </c>
      <c r="Y114" s="572">
        <f>Y113/X113-1</f>
        <v>1.4275100358697834E-2</v>
      </c>
      <c r="Z114" s="191"/>
      <c r="AA114" s="572">
        <f>AA113/Y113-1</f>
        <v>3.8911333416501437E-2</v>
      </c>
      <c r="AB114" s="573">
        <f>AB113/AA113-1</f>
        <v>0.12452123368263424</v>
      </c>
      <c r="AC114" s="573">
        <f>AC113/AB113-1</f>
        <v>-0.13200017403342468</v>
      </c>
      <c r="AD114" s="572">
        <f>AD113/AC113-1</f>
        <v>1.1786019742159537E-2</v>
      </c>
      <c r="AE114" s="191"/>
      <c r="AF114" s="834" t="str">
        <f>"NMF"</f>
        <v>NMF</v>
      </c>
      <c r="AG114" s="573">
        <f>AG113/AF113-1</f>
        <v>-0.11300546033912617</v>
      </c>
      <c r="AH114" s="573">
        <f>AH113/AG113-1</f>
        <v>-0.12177387577388832</v>
      </c>
      <c r="AI114" s="572">
        <f>AI113/AH113-1</f>
        <v>-2.2599865862948265E-2</v>
      </c>
      <c r="AJ114" s="191"/>
      <c r="AK114" s="572">
        <f>AK113/AI113-1</f>
        <v>-0.21994125605741766</v>
      </c>
      <c r="AL114" s="573">
        <f>AL113/AK113-1</f>
        <v>6.1350236850378437E-2</v>
      </c>
      <c r="AM114" s="573">
        <f>AM113/AL113-1</f>
        <v>8.6819987842257085E-4</v>
      </c>
      <c r="AN114" s="572">
        <f>AN113/AM113-1</f>
        <v>2.6143038694842691E-2</v>
      </c>
      <c r="AO114" s="191"/>
      <c r="AP114" s="572">
        <f>AP113/AN113-1</f>
        <v>-5.3660667468247381E-2</v>
      </c>
      <c r="AQ114" s="573">
        <f>AQ113/AP113-1</f>
        <v>-5.5694956638252302E-2</v>
      </c>
      <c r="AR114" s="573">
        <f>AR113/AQ113-1</f>
        <v>3.086131176019058E-2</v>
      </c>
      <c r="AS114" s="572">
        <f>AS113/AR113-1</f>
        <v>-3.6222080871120776E-2</v>
      </c>
      <c r="AT114" s="191"/>
      <c r="AU114" s="572">
        <f>AU113/AS113-1</f>
        <v>-7.5160959439075858E-2</v>
      </c>
      <c r="AV114" s="573">
        <f>AV113/AU113-1</f>
        <v>6.6108397450625578E-2</v>
      </c>
      <c r="AW114" s="844">
        <f>AW113/AV113-1</f>
        <v>-5.1924567667170907E-3</v>
      </c>
      <c r="AX114" s="1004">
        <f>AX113/AW113-1</f>
        <v>-3.1461214436168561E-2</v>
      </c>
      <c r="AY114" s="191"/>
      <c r="AZ114" s="1004">
        <f>AZ113/AX113-1</f>
        <v>0.12927714426386516</v>
      </c>
      <c r="BA114" s="1004">
        <f>BA113/AZ113-1</f>
        <v>1.0964859651455328E-2</v>
      </c>
      <c r="BB114" s="1004">
        <f>BB113/BA113-1</f>
        <v>4.0026067925704734E-2</v>
      </c>
      <c r="BC114" s="1004">
        <f>BC113/BB113-1</f>
        <v>-2.3039138039961271E-2</v>
      </c>
      <c r="BD114" s="191"/>
      <c r="BE114" s="191"/>
      <c r="BF114" s="191"/>
      <c r="BG114" s="191"/>
      <c r="BH114" s="572"/>
    </row>
    <row r="115" spans="1:60" s="574" customFormat="1" hidden="1" outlineLevel="1" x14ac:dyDescent="0.25">
      <c r="A115" s="372" t="s">
        <v>710</v>
      </c>
      <c r="B115" s="641"/>
      <c r="C115" s="191"/>
      <c r="D115" s="191"/>
      <c r="E115" s="191"/>
      <c r="F115" s="191">
        <f>F113/E113-1</f>
        <v>-0.46429458201172158</v>
      </c>
      <c r="G115" s="1004"/>
      <c r="H115" s="1004"/>
      <c r="I115" s="1004"/>
      <c r="J115" s="1004"/>
      <c r="K115" s="571">
        <f t="shared" ref="K115:AE115" si="75">K113/F113-1</f>
        <v>-0.27297482727186262</v>
      </c>
      <c r="L115" s="572">
        <f t="shared" si="75"/>
        <v>-0.19511532828706757</v>
      </c>
      <c r="M115" s="572">
        <f t="shared" si="75"/>
        <v>0.23168959056288596</v>
      </c>
      <c r="N115" s="572">
        <f t="shared" si="75"/>
        <v>0.3136556721650372</v>
      </c>
      <c r="O115" s="572">
        <f t="shared" si="75"/>
        <v>2.1556202451171513E-2</v>
      </c>
      <c r="P115" s="571">
        <f t="shared" si="75"/>
        <v>6.7100776753200364E-2</v>
      </c>
      <c r="Q115" s="572">
        <f t="shared" si="75"/>
        <v>-2.4858284830279742E-2</v>
      </c>
      <c r="R115" s="572">
        <f t="shared" si="75"/>
        <v>-0.20710268210796157</v>
      </c>
      <c r="S115" s="572">
        <f t="shared" si="75"/>
        <v>-0.28489981619712834</v>
      </c>
      <c r="T115" s="572">
        <f t="shared" si="75"/>
        <v>-0.29415140892262892</v>
      </c>
      <c r="U115" s="571">
        <f t="shared" si="75"/>
        <v>-0.22260151361478542</v>
      </c>
      <c r="V115" s="572">
        <f t="shared" si="75"/>
        <v>-0.22148115329293994</v>
      </c>
      <c r="W115" s="573">
        <f t="shared" si="75"/>
        <v>7.7719870678713443E-2</v>
      </c>
      <c r="X115" s="573">
        <f t="shared" si="75"/>
        <v>5.1358542820718389E-2</v>
      </c>
      <c r="Y115" s="572">
        <f t="shared" si="75"/>
        <v>0.22601046410275183</v>
      </c>
      <c r="Z115" s="571">
        <f t="shared" si="75"/>
        <v>-7.3454377816430938E-3</v>
      </c>
      <c r="AA115" s="572">
        <f t="shared" si="75"/>
        <v>0.175739103993513</v>
      </c>
      <c r="AB115" s="573">
        <f t="shared" si="75"/>
        <v>0.11548717621311155</v>
      </c>
      <c r="AC115" s="573">
        <f t="shared" si="75"/>
        <v>2.8540853525698129E-2</v>
      </c>
      <c r="AD115" s="572">
        <f t="shared" si="75"/>
        <v>2.6016764054386909E-2</v>
      </c>
      <c r="AE115" s="571">
        <f t="shared" si="75"/>
        <v>0.12922559845850046</v>
      </c>
      <c r="AF115" s="834" t="str">
        <f>"NMF"</f>
        <v>NMF</v>
      </c>
      <c r="AG115" s="835" t="str">
        <f t="shared" ref="AG115:AJ115" si="76">"NMF"</f>
        <v>NMF</v>
      </c>
      <c r="AH115" s="835" t="str">
        <f t="shared" si="76"/>
        <v>NMF</v>
      </c>
      <c r="AI115" s="834" t="str">
        <f t="shared" si="76"/>
        <v>NMF</v>
      </c>
      <c r="AJ115" s="836" t="str">
        <f t="shared" si="76"/>
        <v>NMF</v>
      </c>
      <c r="AK115" s="572">
        <f t="shared" ref="AK115:AW115" si="77">AK113/AF113-1</f>
        <v>-0.4060812970927149</v>
      </c>
      <c r="AL115" s="573">
        <f t="shared" si="77"/>
        <v>-0.28933524636857222</v>
      </c>
      <c r="AM115" s="573">
        <f t="shared" si="77"/>
        <v>-0.19009269587498612</v>
      </c>
      <c r="AN115" s="572">
        <f t="shared" si="77"/>
        <v>-0.14970265187271281</v>
      </c>
      <c r="AO115" s="571">
        <f t="shared" si="77"/>
        <v>-0.22919203168649638</v>
      </c>
      <c r="AP115" s="572">
        <f t="shared" si="77"/>
        <v>3.1550291729728341E-2</v>
      </c>
      <c r="AQ115" s="573">
        <f t="shared" si="77"/>
        <v>-8.2208578148189604E-2</v>
      </c>
      <c r="AR115" s="573">
        <f t="shared" si="77"/>
        <v>-5.4705035920479594E-2</v>
      </c>
      <c r="AS115" s="572">
        <f t="shared" si="77"/>
        <v>-0.1121565131871437</v>
      </c>
      <c r="AT115" s="571">
        <f t="shared" si="77"/>
        <v>-6.4963468120383783E-2</v>
      </c>
      <c r="AU115" s="572">
        <f t="shared" si="77"/>
        <v>-0.13232781277775263</v>
      </c>
      <c r="AV115" s="573">
        <f t="shared" si="77"/>
        <v>-2.0409123582722954E-2</v>
      </c>
      <c r="AW115" s="844">
        <f t="shared" si="77"/>
        <v>-5.4669738765878773E-2</v>
      </c>
      <c r="AX115" s="620">
        <v>-0.05</v>
      </c>
      <c r="AY115" s="191">
        <f>AY113/AT113-1</f>
        <v>-6.1152871773075601E-2</v>
      </c>
      <c r="AZ115" s="620">
        <v>0.16</v>
      </c>
      <c r="BA115" s="620">
        <v>0.1</v>
      </c>
      <c r="BB115" s="620">
        <v>0.15</v>
      </c>
      <c r="BC115" s="620">
        <v>0.16</v>
      </c>
      <c r="BD115" s="191">
        <f>BD113/AY113-1</f>
        <v>0.14390485941922604</v>
      </c>
      <c r="BE115" s="1012">
        <v>0.05</v>
      </c>
      <c r="BF115" s="1012">
        <v>0.05</v>
      </c>
      <c r="BG115" s="1012">
        <v>0.05</v>
      </c>
      <c r="BH115" s="572"/>
    </row>
    <row r="116" spans="1:60" s="116" customFormat="1" hidden="1" outlineLevel="1" x14ac:dyDescent="0.25">
      <c r="A116" s="530"/>
      <c r="B116" s="637"/>
      <c r="C116" s="438"/>
      <c r="D116" s="438"/>
      <c r="E116" s="438"/>
      <c r="F116" s="438"/>
      <c r="G116" s="437"/>
      <c r="H116" s="437"/>
      <c r="I116" s="437"/>
      <c r="J116" s="437"/>
      <c r="K116" s="438"/>
      <c r="L116" s="437"/>
      <c r="M116" s="437"/>
      <c r="N116" s="437"/>
      <c r="O116" s="437"/>
      <c r="P116" s="438"/>
      <c r="Q116" s="437"/>
      <c r="R116" s="437"/>
      <c r="S116" s="437"/>
      <c r="T116" s="437"/>
      <c r="U116" s="438"/>
      <c r="V116" s="437"/>
      <c r="W116" s="437"/>
      <c r="X116" s="437"/>
      <c r="Y116" s="437"/>
      <c r="Z116" s="438"/>
      <c r="AA116" s="437"/>
      <c r="AB116" s="437"/>
      <c r="AC116" s="437"/>
      <c r="AD116" s="437"/>
      <c r="AE116" s="438"/>
      <c r="AF116" s="437"/>
      <c r="AG116" s="437"/>
      <c r="AH116" s="437"/>
      <c r="AI116" s="437"/>
      <c r="AJ116" s="438"/>
      <c r="AK116" s="437"/>
      <c r="AL116" s="437"/>
      <c r="AM116" s="437"/>
      <c r="AN116" s="437"/>
      <c r="AO116" s="438"/>
      <c r="AP116" s="437"/>
      <c r="AQ116" s="437"/>
      <c r="AR116" s="437"/>
      <c r="AS116" s="437"/>
      <c r="AT116" s="438"/>
      <c r="AU116" s="437"/>
      <c r="AV116" s="437"/>
      <c r="AW116" s="725"/>
      <c r="AX116" s="437"/>
      <c r="AY116" s="438"/>
      <c r="AZ116" s="437"/>
      <c r="BA116" s="437"/>
      <c r="BB116" s="437"/>
      <c r="BC116" s="437"/>
      <c r="BD116" s="438"/>
      <c r="BE116" s="438"/>
      <c r="BF116" s="438"/>
      <c r="BG116" s="438"/>
      <c r="BH116" s="368"/>
    </row>
    <row r="117" spans="1:60" s="120" customFormat="1" hidden="1" outlineLevel="1" x14ac:dyDescent="0.25">
      <c r="A117" s="678" t="s">
        <v>647</v>
      </c>
      <c r="B117" s="639"/>
      <c r="C117" s="100"/>
      <c r="D117" s="100"/>
      <c r="E117" s="100"/>
      <c r="F117" s="100"/>
      <c r="G117" s="1005"/>
      <c r="H117" s="1005"/>
      <c r="I117" s="1005"/>
      <c r="J117" s="1005"/>
      <c r="K117" s="100"/>
      <c r="L117" s="1005"/>
      <c r="M117" s="1005"/>
      <c r="N117" s="1005"/>
      <c r="O117" s="1005"/>
      <c r="P117" s="100"/>
      <c r="Q117" s="1005"/>
      <c r="R117" s="1005"/>
      <c r="S117" s="1005"/>
      <c r="T117" s="1005"/>
      <c r="U117" s="100"/>
      <c r="V117" s="1005"/>
      <c r="W117" s="1005"/>
      <c r="X117" s="1005"/>
      <c r="Y117" s="1005"/>
      <c r="Z117" s="100"/>
      <c r="AA117" s="1005"/>
      <c r="AB117" s="1005"/>
      <c r="AC117" s="1005"/>
      <c r="AD117" s="1005"/>
      <c r="AE117" s="100"/>
      <c r="AF117" s="1005">
        <f t="shared" ref="AF117:AW117" si="78">AF123/AF121</f>
        <v>3.2370468158636201E-2</v>
      </c>
      <c r="AG117" s="1005">
        <f t="shared" si="78"/>
        <v>1.7628118824161064E-2</v>
      </c>
      <c r="AH117" s="1005">
        <f t="shared" si="78"/>
        <v>3.3310493164824692E-2</v>
      </c>
      <c r="AI117" s="1005">
        <f t="shared" si="78"/>
        <v>1.5853308308895149E-2</v>
      </c>
      <c r="AJ117" s="100">
        <f t="shared" si="78"/>
        <v>2.4320010150524284E-2</v>
      </c>
      <c r="AK117" s="1005">
        <f t="shared" si="78"/>
        <v>6.5592694274711802E-2</v>
      </c>
      <c r="AL117" s="1005">
        <f t="shared" si="78"/>
        <v>2.1993913947296394E-2</v>
      </c>
      <c r="AM117" s="1005">
        <f t="shared" si="78"/>
        <v>2.6810724289715888E-2</v>
      </c>
      <c r="AN117" s="1005">
        <f t="shared" si="78"/>
        <v>2.2094917636535948E-2</v>
      </c>
      <c r="AO117" s="100">
        <f t="shared" si="78"/>
        <v>3.0684988118607294E-2</v>
      </c>
      <c r="AP117" s="1005">
        <f t="shared" si="78"/>
        <v>7.7990746860541971E-2</v>
      </c>
      <c r="AQ117" s="1005">
        <f t="shared" si="78"/>
        <v>9.5471782288646001E-2</v>
      </c>
      <c r="AR117" s="1005">
        <f t="shared" si="78"/>
        <v>5.7130522377320477E-2</v>
      </c>
      <c r="AS117" s="1005">
        <f t="shared" si="78"/>
        <v>4.6449669871423606E-2</v>
      </c>
      <c r="AT117" s="100">
        <f t="shared" si="78"/>
        <v>6.4217200455210538E-2</v>
      </c>
      <c r="AU117" s="1005">
        <f t="shared" si="78"/>
        <v>6.3271039452791014E-2</v>
      </c>
      <c r="AV117" s="1005">
        <f t="shared" si="78"/>
        <v>3.7184873949579832E-2</v>
      </c>
      <c r="AW117" s="727">
        <f t="shared" si="78"/>
        <v>2.448872114456245E-2</v>
      </c>
      <c r="AX117" s="99">
        <v>0.03</v>
      </c>
      <c r="AY117" s="100">
        <f>AY123/AY121</f>
        <v>3.6448506695763813E-2</v>
      </c>
      <c r="AZ117" s="99">
        <v>0.02</v>
      </c>
      <c r="BA117" s="99">
        <v>0.02</v>
      </c>
      <c r="BB117" s="99">
        <v>0.02</v>
      </c>
      <c r="BC117" s="99">
        <v>0.02</v>
      </c>
      <c r="BD117" s="100">
        <f>BD123/BD121</f>
        <v>0.02</v>
      </c>
      <c r="BE117" s="1011">
        <v>0.01</v>
      </c>
      <c r="BF117" s="1011">
        <v>0.01</v>
      </c>
      <c r="BG117" s="1011">
        <v>0.01</v>
      </c>
      <c r="BH117" s="366"/>
    </row>
    <row r="118" spans="1:60" s="574" customFormat="1" hidden="1" outlineLevel="1" x14ac:dyDescent="0.25">
      <c r="A118" s="245"/>
      <c r="B118" s="641"/>
      <c r="C118" s="191"/>
      <c r="D118" s="191"/>
      <c r="E118" s="191"/>
      <c r="F118" s="191"/>
      <c r="G118" s="1004"/>
      <c r="H118" s="1004"/>
      <c r="I118" s="1004"/>
      <c r="J118" s="1004"/>
      <c r="K118" s="191"/>
      <c r="L118" s="1004"/>
      <c r="M118" s="1004"/>
      <c r="N118" s="1004"/>
      <c r="O118" s="1004"/>
      <c r="P118" s="191"/>
      <c r="Q118" s="1004"/>
      <c r="R118" s="1004"/>
      <c r="S118" s="1004"/>
      <c r="T118" s="1004"/>
      <c r="U118" s="191"/>
      <c r="V118" s="1004"/>
      <c r="W118" s="1004"/>
      <c r="X118" s="1004"/>
      <c r="Y118" s="1004"/>
      <c r="Z118" s="191"/>
      <c r="AA118" s="1004"/>
      <c r="AB118" s="1004"/>
      <c r="AC118" s="1004"/>
      <c r="AD118" s="1004"/>
      <c r="AE118" s="191"/>
      <c r="AF118" s="990"/>
      <c r="AG118" s="990"/>
      <c r="AH118" s="990"/>
      <c r="AI118" s="990"/>
      <c r="AJ118" s="991"/>
      <c r="AK118" s="1004"/>
      <c r="AL118" s="1004"/>
      <c r="AM118" s="1004"/>
      <c r="AN118" s="1004"/>
      <c r="AO118" s="191"/>
      <c r="AP118" s="1004"/>
      <c r="AQ118" s="1004"/>
      <c r="AR118" s="1004"/>
      <c r="AS118" s="1004"/>
      <c r="AT118" s="191"/>
      <c r="AU118" s="1004"/>
      <c r="AV118" s="1004"/>
      <c r="AW118" s="820"/>
      <c r="AX118" s="1004"/>
      <c r="AY118" s="191"/>
      <c r="AZ118" s="1004"/>
      <c r="BA118" s="1004"/>
      <c r="BB118" s="1004"/>
      <c r="BC118" s="1004"/>
      <c r="BD118" s="191"/>
      <c r="BE118" s="191"/>
      <c r="BF118" s="191"/>
      <c r="BG118" s="191"/>
      <c r="BH118" s="572"/>
    </row>
    <row r="119" spans="1:60" s="356" customFormat="1" hidden="1" outlineLevel="2" x14ac:dyDescent="0.25">
      <c r="A119" s="618" t="s">
        <v>614</v>
      </c>
      <c r="B119" s="577"/>
      <c r="C119" s="440"/>
      <c r="D119" s="440"/>
      <c r="E119" s="440"/>
      <c r="F119" s="440"/>
      <c r="G119" s="439"/>
      <c r="H119" s="439"/>
      <c r="I119" s="439"/>
      <c r="J119" s="439"/>
      <c r="K119" s="440"/>
      <c r="L119" s="439"/>
      <c r="M119" s="439"/>
      <c r="N119" s="439"/>
      <c r="O119" s="439"/>
      <c r="P119" s="440"/>
      <c r="Q119" s="439"/>
      <c r="R119" s="439"/>
      <c r="S119" s="439"/>
      <c r="T119" s="439"/>
      <c r="U119" s="440"/>
      <c r="V119" s="439"/>
      <c r="W119" s="439"/>
      <c r="X119" s="439"/>
      <c r="Y119" s="439"/>
      <c r="Z119" s="440"/>
      <c r="AA119" s="439"/>
      <c r="AB119" s="439"/>
      <c r="AC119" s="439"/>
      <c r="AD119" s="439"/>
      <c r="AE119" s="440"/>
      <c r="AF119" s="439">
        <v>2182.5140000000001</v>
      </c>
      <c r="AG119" s="439">
        <v>2698.239</v>
      </c>
      <c r="AH119" s="439">
        <v>5297.0240000000003</v>
      </c>
      <c r="AI119" s="439">
        <f>AJ119-SUM(AF119,AG119,AH119)</f>
        <v>5632.1129999999976</v>
      </c>
      <c r="AJ119" s="440">
        <v>15809.89</v>
      </c>
      <c r="AK119" s="439">
        <v>3683.3809999999999</v>
      </c>
      <c r="AL119" s="439">
        <v>4918.3010000000004</v>
      </c>
      <c r="AM119" s="439">
        <v>4821</v>
      </c>
      <c r="AN119" s="439">
        <f>AO119-SUM(AK119,AL119,AM119)</f>
        <v>5789.3179999999993</v>
      </c>
      <c r="AO119" s="440">
        <v>19212</v>
      </c>
      <c r="AP119" s="439">
        <v>4367</v>
      </c>
      <c r="AQ119" s="439">
        <v>4423</v>
      </c>
      <c r="AR119" s="439">
        <v>6788</v>
      </c>
      <c r="AS119" s="439">
        <f>AT119-SUM(AP119,AQ119,AR119)</f>
        <v>8475</v>
      </c>
      <c r="AT119" s="440">
        <v>24053</v>
      </c>
      <c r="AU119" s="439">
        <v>8013</v>
      </c>
      <c r="AV119" s="439">
        <v>9332</v>
      </c>
      <c r="AW119" s="726">
        <v>11230</v>
      </c>
      <c r="AX119" s="439"/>
      <c r="AY119" s="440"/>
      <c r="AZ119" s="439"/>
      <c r="BA119" s="439"/>
      <c r="BB119" s="439"/>
      <c r="BC119" s="439"/>
      <c r="BD119" s="440"/>
      <c r="BE119" s="440"/>
      <c r="BF119" s="440"/>
      <c r="BG119" s="440"/>
      <c r="BH119" s="361"/>
    </row>
    <row r="120" spans="1:60" s="356" customFormat="1" hidden="1" outlineLevel="2" x14ac:dyDescent="0.25">
      <c r="A120" s="619" t="s">
        <v>615</v>
      </c>
      <c r="B120" s="467"/>
      <c r="C120" s="479"/>
      <c r="D120" s="479"/>
      <c r="E120" s="479"/>
      <c r="F120" s="479"/>
      <c r="G120" s="459"/>
      <c r="H120" s="459"/>
      <c r="I120" s="459"/>
      <c r="J120" s="459"/>
      <c r="K120" s="479"/>
      <c r="L120" s="459"/>
      <c r="M120" s="459"/>
      <c r="N120" s="459"/>
      <c r="O120" s="459"/>
      <c r="P120" s="479"/>
      <c r="Q120" s="459"/>
      <c r="R120" s="459"/>
      <c r="S120" s="459"/>
      <c r="T120" s="459"/>
      <c r="U120" s="479"/>
      <c r="V120" s="459"/>
      <c r="W120" s="459"/>
      <c r="X120" s="459"/>
      <c r="Y120" s="459"/>
      <c r="Z120" s="479"/>
      <c r="AA120" s="459"/>
      <c r="AB120" s="459"/>
      <c r="AC120" s="459"/>
      <c r="AD120" s="459"/>
      <c r="AE120" s="479"/>
      <c r="AF120" s="459">
        <v>299.03800000000001</v>
      </c>
      <c r="AG120" s="459">
        <v>365.61599999999999</v>
      </c>
      <c r="AH120" s="459">
        <v>391.78399999999999</v>
      </c>
      <c r="AI120" s="459">
        <f>AJ120-SUM(AF120,AG120,AH120)</f>
        <v>346.57599999999979</v>
      </c>
      <c r="AJ120" s="479">
        <v>1403.0139999999999</v>
      </c>
      <c r="AK120" s="459">
        <v>-390.62099999999998</v>
      </c>
      <c r="AL120" s="459">
        <v>138.50700000000001</v>
      </c>
      <c r="AM120" s="459">
        <v>177</v>
      </c>
      <c r="AN120" s="459">
        <f>AO120-SUM(AK120,AL120,AM120)</f>
        <v>221.11399999999998</v>
      </c>
      <c r="AO120" s="479">
        <v>146</v>
      </c>
      <c r="AP120" s="459">
        <v>172</v>
      </c>
      <c r="AQ120" s="459">
        <v>60</v>
      </c>
      <c r="AR120" s="459">
        <v>161</v>
      </c>
      <c r="AS120" s="459">
        <f>AT120-SUM(AP120,AQ120,AR120)</f>
        <v>158</v>
      </c>
      <c r="AT120" s="479">
        <v>551</v>
      </c>
      <c r="AU120" s="459">
        <v>174</v>
      </c>
      <c r="AV120" s="459">
        <v>188</v>
      </c>
      <c r="AW120" s="723">
        <v>163</v>
      </c>
      <c r="AX120" s="459"/>
      <c r="AY120" s="479"/>
      <c r="AZ120" s="459"/>
      <c r="BA120" s="459"/>
      <c r="BB120" s="459"/>
      <c r="BC120" s="459"/>
      <c r="BD120" s="479"/>
      <c r="BE120" s="479"/>
      <c r="BF120" s="479"/>
      <c r="BG120" s="479"/>
      <c r="BH120" s="361"/>
    </row>
    <row r="121" spans="1:60" s="116" customFormat="1" hidden="1" outlineLevel="1" collapsed="1" x14ac:dyDescent="0.25">
      <c r="A121" s="948" t="s">
        <v>617</v>
      </c>
      <c r="B121" s="637"/>
      <c r="C121" s="438"/>
      <c r="D121" s="438"/>
      <c r="E121" s="438"/>
      <c r="F121" s="438"/>
      <c r="G121" s="437"/>
      <c r="H121" s="437"/>
      <c r="I121" s="437"/>
      <c r="J121" s="437"/>
      <c r="K121" s="438"/>
      <c r="L121" s="437"/>
      <c r="M121" s="437"/>
      <c r="N121" s="437"/>
      <c r="O121" s="437"/>
      <c r="P121" s="438"/>
      <c r="Q121" s="437"/>
      <c r="R121" s="437"/>
      <c r="S121" s="437"/>
      <c r="T121" s="437"/>
      <c r="U121" s="438"/>
      <c r="V121" s="437"/>
      <c r="W121" s="437"/>
      <c r="X121" s="437"/>
      <c r="Y121" s="437"/>
      <c r="Z121" s="438"/>
      <c r="AA121" s="437"/>
      <c r="AB121" s="437"/>
      <c r="AC121" s="437"/>
      <c r="AD121" s="437"/>
      <c r="AE121" s="438"/>
      <c r="AF121" s="437">
        <f t="shared" ref="AF121:AW121" si="79">SUM(AF119:AF120)</f>
        <v>2481.5520000000001</v>
      </c>
      <c r="AG121" s="437">
        <f t="shared" si="79"/>
        <v>3063.855</v>
      </c>
      <c r="AH121" s="437">
        <f t="shared" si="79"/>
        <v>5688.808</v>
      </c>
      <c r="AI121" s="437">
        <f t="shared" si="79"/>
        <v>5978.6889999999976</v>
      </c>
      <c r="AJ121" s="438">
        <f t="shared" si="79"/>
        <v>17212.903999999999</v>
      </c>
      <c r="AK121" s="437">
        <f t="shared" si="79"/>
        <v>3292.7599999999998</v>
      </c>
      <c r="AL121" s="437">
        <f t="shared" si="79"/>
        <v>5056.808</v>
      </c>
      <c r="AM121" s="437">
        <f t="shared" si="79"/>
        <v>4998</v>
      </c>
      <c r="AN121" s="437">
        <f t="shared" si="79"/>
        <v>6010.4319999999989</v>
      </c>
      <c r="AO121" s="438">
        <f t="shared" si="79"/>
        <v>19358</v>
      </c>
      <c r="AP121" s="437">
        <f t="shared" si="79"/>
        <v>4539</v>
      </c>
      <c r="AQ121" s="437">
        <f t="shared" si="79"/>
        <v>4483</v>
      </c>
      <c r="AR121" s="437">
        <f t="shared" si="79"/>
        <v>6949</v>
      </c>
      <c r="AS121" s="437">
        <f t="shared" si="79"/>
        <v>8633</v>
      </c>
      <c r="AT121" s="438">
        <f t="shared" si="79"/>
        <v>24604</v>
      </c>
      <c r="AU121" s="437">
        <f t="shared" si="79"/>
        <v>8187</v>
      </c>
      <c r="AV121" s="437">
        <f t="shared" si="79"/>
        <v>9520</v>
      </c>
      <c r="AW121" s="725">
        <f t="shared" si="79"/>
        <v>11393</v>
      </c>
      <c r="AX121" s="437">
        <f>AX109*AX113/1000</f>
        <v>14010.756197651932</v>
      </c>
      <c r="AY121" s="438">
        <f>SUM(AU121,AV121,AW121,AX121)</f>
        <v>43110.756197651936</v>
      </c>
      <c r="AZ121" s="437">
        <f>AZ109*AZ113/1000</f>
        <v>18167.964215793312</v>
      </c>
      <c r="BA121" s="437">
        <f>BA109*BA113/1000</f>
        <v>21122.252205425775</v>
      </c>
      <c r="BB121" s="437">
        <f>BB109*BB113/1000</f>
        <v>25262.823522956955</v>
      </c>
      <c r="BC121" s="437">
        <f>BC109*BC113/1000</f>
        <v>28382.916864745461</v>
      </c>
      <c r="BD121" s="438">
        <f>SUM(AZ121,BA121,BB121,BC121)</f>
        <v>92935.956808921503</v>
      </c>
      <c r="BE121" s="438">
        <f>BE109*BE113/1000</f>
        <v>113208.98683126355</v>
      </c>
      <c r="BF121" s="438">
        <f>BF109*BF113/1000</f>
        <v>136452.7399931229</v>
      </c>
      <c r="BG121" s="438">
        <f>BG109*BG113/1000</f>
        <v>164481.22492262343</v>
      </c>
      <c r="BH121" s="368"/>
    </row>
    <row r="122" spans="1:60" s="574" customFormat="1" hidden="1" outlineLevel="1" x14ac:dyDescent="0.25">
      <c r="A122" s="904" t="s">
        <v>784</v>
      </c>
      <c r="B122" s="641"/>
      <c r="C122" s="191"/>
      <c r="D122" s="191"/>
      <c r="E122" s="191"/>
      <c r="F122" s="191"/>
      <c r="G122" s="1004"/>
      <c r="H122" s="1004"/>
      <c r="I122" s="1004"/>
      <c r="J122" s="1004"/>
      <c r="K122" s="191"/>
      <c r="L122" s="1004"/>
      <c r="M122" s="1004"/>
      <c r="N122" s="1004"/>
      <c r="O122" s="1004"/>
      <c r="P122" s="191"/>
      <c r="Q122" s="1004"/>
      <c r="R122" s="1004"/>
      <c r="S122" s="1004"/>
      <c r="T122" s="1004"/>
      <c r="U122" s="191"/>
      <c r="V122" s="1004"/>
      <c r="W122" s="1004"/>
      <c r="X122" s="1004"/>
      <c r="Y122" s="1004"/>
      <c r="Z122" s="191"/>
      <c r="AA122" s="1004"/>
      <c r="AB122" s="1004"/>
      <c r="AC122" s="1004"/>
      <c r="AD122" s="1004"/>
      <c r="AE122" s="191"/>
      <c r="AF122" s="1004"/>
      <c r="AG122" s="1004"/>
      <c r="AH122" s="1004"/>
      <c r="AI122" s="1004"/>
      <c r="AJ122" s="191"/>
      <c r="AK122" s="572">
        <f t="shared" ref="AK122:BD122" si="80">AK121/AF121-1</f>
        <v>0.32689542673294758</v>
      </c>
      <c r="AL122" s="573">
        <f t="shared" si="80"/>
        <v>0.65047236243229523</v>
      </c>
      <c r="AM122" s="573">
        <f t="shared" si="80"/>
        <v>-0.1214328203729147</v>
      </c>
      <c r="AN122" s="572">
        <f t="shared" si="80"/>
        <v>5.3093579545617775E-3</v>
      </c>
      <c r="AO122" s="571">
        <f t="shared" si="80"/>
        <v>0.1246213886976888</v>
      </c>
      <c r="AP122" s="572">
        <f t="shared" si="80"/>
        <v>0.37847884449519564</v>
      </c>
      <c r="AQ122" s="573">
        <f t="shared" si="80"/>
        <v>-0.1134723722949339</v>
      </c>
      <c r="AR122" s="573">
        <f t="shared" si="80"/>
        <v>0.3903561424569828</v>
      </c>
      <c r="AS122" s="572">
        <f t="shared" si="80"/>
        <v>0.43633602376667802</v>
      </c>
      <c r="AT122" s="571">
        <f t="shared" si="80"/>
        <v>0.27099907015187519</v>
      </c>
      <c r="AU122" s="572">
        <f t="shared" si="80"/>
        <v>0.80370125578321217</v>
      </c>
      <c r="AV122" s="573">
        <f t="shared" si="80"/>
        <v>1.1235779611867054</v>
      </c>
      <c r="AW122" s="844">
        <f t="shared" si="80"/>
        <v>0.63951647719096272</v>
      </c>
      <c r="AX122" s="1004">
        <f t="shared" si="80"/>
        <v>0.62293017463824074</v>
      </c>
      <c r="AY122" s="191">
        <f t="shared" si="80"/>
        <v>0.75218485602552176</v>
      </c>
      <c r="AZ122" s="1004">
        <f t="shared" si="80"/>
        <v>1.219123514815355</v>
      </c>
      <c r="BA122" s="1004">
        <f t="shared" si="80"/>
        <v>1.2187239711581697</v>
      </c>
      <c r="BB122" s="1004">
        <f t="shared" si="80"/>
        <v>1.2173987117490523</v>
      </c>
      <c r="BC122" s="1004">
        <f t="shared" si="80"/>
        <v>1.025794786829719</v>
      </c>
      <c r="BD122" s="191">
        <f t="shared" si="80"/>
        <v>1.1557487041710335</v>
      </c>
      <c r="BE122" s="191">
        <f>BE121/BD121-1</f>
        <v>0.21813978914559273</v>
      </c>
      <c r="BF122" s="191">
        <f>BF121/BE121-1</f>
        <v>0.20531720857553326</v>
      </c>
      <c r="BG122" s="191">
        <f>BG121/BF121-1</f>
        <v>0.2054080037594932</v>
      </c>
      <c r="BH122" s="572"/>
    </row>
    <row r="123" spans="1:60" s="116" customFormat="1" hidden="1" outlineLevel="1" x14ac:dyDescent="0.25">
      <c r="A123" s="948" t="s">
        <v>797</v>
      </c>
      <c r="B123" s="637"/>
      <c r="C123" s="438"/>
      <c r="D123" s="438"/>
      <c r="E123" s="438"/>
      <c r="F123" s="438"/>
      <c r="G123" s="437"/>
      <c r="H123" s="437"/>
      <c r="I123" s="437"/>
      <c r="J123" s="437"/>
      <c r="K123" s="438"/>
      <c r="L123" s="437"/>
      <c r="M123" s="437"/>
      <c r="N123" s="437"/>
      <c r="O123" s="437"/>
      <c r="P123" s="438"/>
      <c r="Q123" s="437"/>
      <c r="R123" s="437"/>
      <c r="S123" s="437"/>
      <c r="T123" s="437"/>
      <c r="U123" s="438"/>
      <c r="V123" s="437"/>
      <c r="W123" s="437"/>
      <c r="X123" s="437"/>
      <c r="Y123" s="437"/>
      <c r="Z123" s="438"/>
      <c r="AA123" s="437"/>
      <c r="AB123" s="437"/>
      <c r="AC123" s="437"/>
      <c r="AD123" s="437"/>
      <c r="AE123" s="438"/>
      <c r="AF123" s="437">
        <v>80.328999999999994</v>
      </c>
      <c r="AG123" s="437">
        <v>54.01</v>
      </c>
      <c r="AH123" s="437">
        <v>189.49700000000001</v>
      </c>
      <c r="AI123" s="437">
        <f>AJ123-SUM(AF123,AG123,AH123)</f>
        <v>94.781999999999982</v>
      </c>
      <c r="AJ123" s="438">
        <v>418.61799999999999</v>
      </c>
      <c r="AK123" s="437">
        <v>215.98099999999999</v>
      </c>
      <c r="AL123" s="437">
        <v>111.21899999999999</v>
      </c>
      <c r="AM123" s="437">
        <v>134</v>
      </c>
      <c r="AN123" s="437">
        <f>AO123-SUM(AK123,AL123,AM123)</f>
        <v>132.80000000000001</v>
      </c>
      <c r="AO123" s="438">
        <v>594</v>
      </c>
      <c r="AP123" s="437">
        <v>354</v>
      </c>
      <c r="AQ123" s="437">
        <v>428</v>
      </c>
      <c r="AR123" s="437">
        <v>397</v>
      </c>
      <c r="AS123" s="437">
        <f>AT123-SUM(AP123,AQ123,AR123)</f>
        <v>401</v>
      </c>
      <c r="AT123" s="438">
        <v>1580</v>
      </c>
      <c r="AU123" s="437">
        <v>518</v>
      </c>
      <c r="AV123" s="437">
        <v>354</v>
      </c>
      <c r="AW123" s="725">
        <v>279</v>
      </c>
      <c r="AX123" s="437">
        <f>AX121*AX117</f>
        <v>420.32268592955796</v>
      </c>
      <c r="AY123" s="438">
        <f>SUM(AU123,AV123,AW123,AX123)</f>
        <v>1571.322685929558</v>
      </c>
      <c r="AZ123" s="437">
        <f>AZ121*AZ117</f>
        <v>363.35928431586626</v>
      </c>
      <c r="BA123" s="437">
        <f>BA121*BA117</f>
        <v>422.4450441085155</v>
      </c>
      <c r="BB123" s="437">
        <f>BB121*BB117</f>
        <v>505.25647045913911</v>
      </c>
      <c r="BC123" s="437">
        <f>BC121*BC117</f>
        <v>567.65833729490919</v>
      </c>
      <c r="BD123" s="438">
        <f>SUM(AZ123,BA123,BB123,BC123)</f>
        <v>1858.7191361784301</v>
      </c>
      <c r="BE123" s="438">
        <f>BE121*BE117</f>
        <v>1132.0898683126356</v>
      </c>
      <c r="BF123" s="438">
        <f>BF121*BF117</f>
        <v>1364.527399931229</v>
      </c>
      <c r="BG123" s="438">
        <f>BG121*BG117</f>
        <v>1644.8122492262344</v>
      </c>
      <c r="BH123" s="368"/>
    </row>
    <row r="124" spans="1:60" s="574" customFormat="1" hidden="1" outlineLevel="1" x14ac:dyDescent="0.25">
      <c r="A124" s="964" t="s">
        <v>798</v>
      </c>
      <c r="B124" s="965"/>
      <c r="C124" s="966"/>
      <c r="D124" s="966"/>
      <c r="E124" s="966"/>
      <c r="F124" s="966"/>
      <c r="G124" s="967"/>
      <c r="H124" s="967"/>
      <c r="I124" s="967"/>
      <c r="J124" s="967"/>
      <c r="K124" s="966"/>
      <c r="L124" s="967"/>
      <c r="M124" s="967"/>
      <c r="N124" s="967"/>
      <c r="O124" s="967"/>
      <c r="P124" s="966"/>
      <c r="Q124" s="967"/>
      <c r="R124" s="967"/>
      <c r="S124" s="967"/>
      <c r="T124" s="967"/>
      <c r="U124" s="966"/>
      <c r="V124" s="967"/>
      <c r="W124" s="967"/>
      <c r="X124" s="967"/>
      <c r="Y124" s="967"/>
      <c r="Z124" s="966"/>
      <c r="AA124" s="967"/>
      <c r="AB124" s="967"/>
      <c r="AC124" s="967"/>
      <c r="AD124" s="967"/>
      <c r="AE124" s="966"/>
      <c r="AF124" s="967"/>
      <c r="AG124" s="967"/>
      <c r="AH124" s="967"/>
      <c r="AI124" s="967"/>
      <c r="AJ124" s="966"/>
      <c r="AK124" s="968">
        <f t="shared" ref="AK124:BD124" si="81">AK123/AF123-1</f>
        <v>1.6887051998655531</v>
      </c>
      <c r="AL124" s="969">
        <f t="shared" si="81"/>
        <v>1.0592297722643953</v>
      </c>
      <c r="AM124" s="969">
        <f t="shared" si="81"/>
        <v>-0.29286479469331972</v>
      </c>
      <c r="AN124" s="968">
        <f t="shared" si="81"/>
        <v>0.40110991538477814</v>
      </c>
      <c r="AO124" s="970">
        <f t="shared" si="81"/>
        <v>0.41895475110960345</v>
      </c>
      <c r="AP124" s="968">
        <f t="shared" si="81"/>
        <v>0.63903306309351282</v>
      </c>
      <c r="AQ124" s="969">
        <f t="shared" si="81"/>
        <v>2.8482633363004526</v>
      </c>
      <c r="AR124" s="969">
        <f t="shared" si="81"/>
        <v>1.9626865671641789</v>
      </c>
      <c r="AS124" s="968">
        <f t="shared" si="81"/>
        <v>2.0195783132530116</v>
      </c>
      <c r="AT124" s="970">
        <f t="shared" si="81"/>
        <v>1.65993265993266</v>
      </c>
      <c r="AU124" s="968">
        <f t="shared" si="81"/>
        <v>0.46327683615819204</v>
      </c>
      <c r="AV124" s="969">
        <f t="shared" si="81"/>
        <v>-0.17289719626168221</v>
      </c>
      <c r="AW124" s="971">
        <f t="shared" si="81"/>
        <v>-0.29722921914357681</v>
      </c>
      <c r="AX124" s="967">
        <f t="shared" si="81"/>
        <v>4.818624920089265E-2</v>
      </c>
      <c r="AY124" s="966">
        <f t="shared" si="81"/>
        <v>-5.4919709306594511E-3</v>
      </c>
      <c r="AZ124" s="967">
        <f t="shared" si="81"/>
        <v>-0.29853420016242038</v>
      </c>
      <c r="BA124" s="967">
        <f t="shared" si="81"/>
        <v>0.19334758222744486</v>
      </c>
      <c r="BB124" s="967">
        <f t="shared" si="81"/>
        <v>0.81095509125139476</v>
      </c>
      <c r="BC124" s="967">
        <f t="shared" si="81"/>
        <v>0.35052985788647928</v>
      </c>
      <c r="BD124" s="966">
        <f t="shared" si="81"/>
        <v>0.18290097433351504</v>
      </c>
      <c r="BE124" s="966">
        <f>BE123/BD123-1</f>
        <v>-0.39093010542720352</v>
      </c>
      <c r="BF124" s="966">
        <f>BF123/BE123-1</f>
        <v>0.20531720857553326</v>
      </c>
      <c r="BG124" s="966">
        <f>BG123/BF123-1</f>
        <v>0.2054080037594932</v>
      </c>
      <c r="BH124" s="572"/>
    </row>
    <row r="125" spans="1:60" s="116" customFormat="1" hidden="1" outlineLevel="1" x14ac:dyDescent="0.25">
      <c r="A125" s="530" t="s">
        <v>646</v>
      </c>
      <c r="B125" s="637"/>
      <c r="C125" s="438">
        <f t="shared" ref="C125:AE125" si="82">C224</f>
        <v>111.943</v>
      </c>
      <c r="D125" s="438">
        <f t="shared" si="82"/>
        <v>97.078000000000003</v>
      </c>
      <c r="E125" s="438">
        <f t="shared" si="82"/>
        <v>148.56800000000001</v>
      </c>
      <c r="F125" s="438">
        <f t="shared" si="82"/>
        <v>385.69900000000001</v>
      </c>
      <c r="G125" s="437">
        <f t="shared" si="82"/>
        <v>555.20299999999997</v>
      </c>
      <c r="H125" s="437">
        <f t="shared" si="82"/>
        <v>401.53500000000003</v>
      </c>
      <c r="I125" s="437">
        <f t="shared" si="82"/>
        <v>430.19600000000003</v>
      </c>
      <c r="J125" s="437">
        <f t="shared" si="82"/>
        <v>610.85200000000009</v>
      </c>
      <c r="K125" s="438">
        <f t="shared" si="82"/>
        <v>1997.7860000000001</v>
      </c>
      <c r="L125" s="437">
        <f t="shared" si="82"/>
        <v>588.87099999999998</v>
      </c>
      <c r="M125" s="437">
        <f t="shared" si="82"/>
        <v>727.82899999999995</v>
      </c>
      <c r="N125" s="437">
        <f t="shared" si="82"/>
        <v>799.91499999999996</v>
      </c>
      <c r="O125" s="437">
        <f t="shared" si="82"/>
        <v>890.39599999999996</v>
      </c>
      <c r="P125" s="438">
        <f t="shared" si="82"/>
        <v>3007.0120000000002</v>
      </c>
      <c r="Q125" s="437">
        <f t="shared" si="82"/>
        <v>893.32</v>
      </c>
      <c r="R125" s="437">
        <f t="shared" si="82"/>
        <v>878.09</v>
      </c>
      <c r="S125" s="437">
        <f t="shared" si="82"/>
        <v>852.55499999999995</v>
      </c>
      <c r="T125" s="437">
        <f t="shared" si="82"/>
        <v>1117.008</v>
      </c>
      <c r="U125" s="438">
        <f t="shared" si="82"/>
        <v>3740.973</v>
      </c>
      <c r="V125" s="437">
        <f t="shared" si="82"/>
        <v>1026.0640000000001</v>
      </c>
      <c r="W125" s="437">
        <f t="shared" si="82"/>
        <v>1181.8520000000001</v>
      </c>
      <c r="X125" s="437">
        <f t="shared" si="82"/>
        <v>1917.442</v>
      </c>
      <c r="Y125" s="437">
        <f t="shared" si="82"/>
        <v>1739.4490000000001</v>
      </c>
      <c r="Z125" s="438">
        <f t="shared" si="82"/>
        <v>5589.0069999999996</v>
      </c>
      <c r="AA125" s="437">
        <f t="shared" si="82"/>
        <v>2035.06</v>
      </c>
      <c r="AB125" s="437">
        <f t="shared" si="82"/>
        <v>2013.8520000000001</v>
      </c>
      <c r="AC125" s="437">
        <f t="shared" si="82"/>
        <v>2076.7310000000002</v>
      </c>
      <c r="AD125" s="437">
        <f t="shared" si="82"/>
        <v>2409.1089999999999</v>
      </c>
      <c r="AE125" s="438">
        <f t="shared" si="82"/>
        <v>8534.7520000000004</v>
      </c>
      <c r="AF125" s="437">
        <f t="shared" ref="AF125:BG125" si="83">AF121+AF123</f>
        <v>2561.8810000000003</v>
      </c>
      <c r="AG125" s="437">
        <f t="shared" si="83"/>
        <v>3117.8650000000002</v>
      </c>
      <c r="AH125" s="437">
        <f t="shared" si="83"/>
        <v>5878.3050000000003</v>
      </c>
      <c r="AI125" s="437">
        <f t="shared" si="83"/>
        <v>6073.4709999999977</v>
      </c>
      <c r="AJ125" s="438">
        <f t="shared" si="83"/>
        <v>17631.521999999997</v>
      </c>
      <c r="AK125" s="437">
        <f t="shared" si="83"/>
        <v>3508.741</v>
      </c>
      <c r="AL125" s="437">
        <f t="shared" si="83"/>
        <v>5168.027</v>
      </c>
      <c r="AM125" s="437">
        <f t="shared" si="83"/>
        <v>5132</v>
      </c>
      <c r="AN125" s="437">
        <f t="shared" si="83"/>
        <v>6143.2319999999991</v>
      </c>
      <c r="AO125" s="438">
        <f t="shared" si="83"/>
        <v>19952</v>
      </c>
      <c r="AP125" s="437">
        <f t="shared" si="83"/>
        <v>4893</v>
      </c>
      <c r="AQ125" s="437">
        <f t="shared" si="83"/>
        <v>4911</v>
      </c>
      <c r="AR125" s="437">
        <f t="shared" si="83"/>
        <v>7346</v>
      </c>
      <c r="AS125" s="437">
        <f t="shared" si="83"/>
        <v>9034</v>
      </c>
      <c r="AT125" s="438">
        <f t="shared" si="83"/>
        <v>26184</v>
      </c>
      <c r="AU125" s="437">
        <f t="shared" si="83"/>
        <v>8705</v>
      </c>
      <c r="AV125" s="437">
        <f t="shared" si="83"/>
        <v>9874</v>
      </c>
      <c r="AW125" s="725">
        <f t="shared" si="83"/>
        <v>11672</v>
      </c>
      <c r="AX125" s="437">
        <f t="shared" si="83"/>
        <v>14431.078883581489</v>
      </c>
      <c r="AY125" s="438">
        <f t="shared" si="83"/>
        <v>44682.078883581496</v>
      </c>
      <c r="AZ125" s="437">
        <f t="shared" si="83"/>
        <v>18531.323500109178</v>
      </c>
      <c r="BA125" s="437">
        <f t="shared" si="83"/>
        <v>21544.697249534292</v>
      </c>
      <c r="BB125" s="437">
        <f t="shared" si="83"/>
        <v>25768.079993416093</v>
      </c>
      <c r="BC125" s="437">
        <f t="shared" si="83"/>
        <v>28950.575202040371</v>
      </c>
      <c r="BD125" s="438">
        <f t="shared" si="83"/>
        <v>94794.675945099938</v>
      </c>
      <c r="BE125" s="438">
        <f t="shared" si="83"/>
        <v>114341.07669957618</v>
      </c>
      <c r="BF125" s="438">
        <f t="shared" si="83"/>
        <v>137817.26739305412</v>
      </c>
      <c r="BG125" s="438">
        <f t="shared" si="83"/>
        <v>166126.03717184966</v>
      </c>
      <c r="BH125" s="368"/>
    </row>
    <row r="126" spans="1:60" s="574" customFormat="1" hidden="1" outlineLevel="1" x14ac:dyDescent="0.25">
      <c r="A126" s="372" t="s">
        <v>727</v>
      </c>
      <c r="B126" s="641"/>
      <c r="C126" s="191"/>
      <c r="D126" s="191"/>
      <c r="E126" s="191"/>
      <c r="F126" s="191"/>
      <c r="G126" s="1004"/>
      <c r="H126" s="572">
        <f>H125/G125-1</f>
        <v>-0.27677804334630751</v>
      </c>
      <c r="I126" s="572">
        <f>I125/H125-1</f>
        <v>7.1378584681285551E-2</v>
      </c>
      <c r="J126" s="572">
        <f>J125/I125-1</f>
        <v>0.41993881858501725</v>
      </c>
      <c r="K126" s="191"/>
      <c r="L126" s="572">
        <f>L125/J125-1</f>
        <v>-3.5984166377453275E-2</v>
      </c>
      <c r="M126" s="572">
        <f>M125/L125-1</f>
        <v>0.23597358334847529</v>
      </c>
      <c r="N126" s="572">
        <f>N125/M125-1</f>
        <v>9.9042494871734998E-2</v>
      </c>
      <c r="O126" s="572">
        <f>O125/N125-1</f>
        <v>0.11311326828475532</v>
      </c>
      <c r="P126" s="191"/>
      <c r="Q126" s="572">
        <f>Q125/O125-1</f>
        <v>3.2839320931361549E-3</v>
      </c>
      <c r="R126" s="572">
        <f>R125/Q125-1</f>
        <v>-1.70487619218197E-2</v>
      </c>
      <c r="S126" s="572">
        <f>S125/R125-1</f>
        <v>-2.9080162625699013E-2</v>
      </c>
      <c r="T126" s="572">
        <f>T125/S125-1</f>
        <v>0.31018878547425111</v>
      </c>
      <c r="U126" s="191"/>
      <c r="V126" s="572">
        <f>V125/T125-1</f>
        <v>-8.1417501038488549E-2</v>
      </c>
      <c r="W126" s="573">
        <f>W125/V125-1</f>
        <v>0.15183068502549557</v>
      </c>
      <c r="X126" s="573">
        <f>X125/W125-1</f>
        <v>0.62240449734822967</v>
      </c>
      <c r="Y126" s="572">
        <f>Y125/X125-1</f>
        <v>-9.2828361953060323E-2</v>
      </c>
      <c r="Z126" s="191"/>
      <c r="AA126" s="572">
        <f>AA125/Y125-1</f>
        <v>0.16994519528885288</v>
      </c>
      <c r="AB126" s="573">
        <f>AB125/AA125-1</f>
        <v>-1.042131435928173E-2</v>
      </c>
      <c r="AC126" s="573">
        <f>AC125/AB125-1</f>
        <v>3.1223247785835406E-2</v>
      </c>
      <c r="AD126" s="572">
        <f>AD125/AC125-1</f>
        <v>0.16004865338842622</v>
      </c>
      <c r="AE126" s="191"/>
      <c r="AF126" s="572">
        <f>AF125/AD125-1</f>
        <v>6.3414316247210278E-2</v>
      </c>
      <c r="AG126" s="573">
        <f>AG125/AF125-1</f>
        <v>0.21702178984894305</v>
      </c>
      <c r="AH126" s="573">
        <f>AH125/AG125-1</f>
        <v>0.88536225910999988</v>
      </c>
      <c r="AI126" s="572">
        <f>AI125/AH125-1</f>
        <v>3.3201067314472033E-2</v>
      </c>
      <c r="AJ126" s="191"/>
      <c r="AK126" s="572">
        <f>AK125/AI125-1</f>
        <v>-0.422284061288841</v>
      </c>
      <c r="AL126" s="573">
        <f>AL125/AK125-1</f>
        <v>0.47290067861948204</v>
      </c>
      <c r="AM126" s="573">
        <f>AM125/AL125-1</f>
        <v>-6.971132310260808E-3</v>
      </c>
      <c r="AN126" s="572">
        <f>AN125/AM125-1</f>
        <v>0.197044427123928</v>
      </c>
      <c r="AO126" s="191"/>
      <c r="AP126" s="572">
        <f>AP125/AN125-1</f>
        <v>-0.203513720465058</v>
      </c>
      <c r="AQ126" s="573">
        <f>AQ125/AP125-1</f>
        <v>3.6787247087677333E-3</v>
      </c>
      <c r="AR126" s="573">
        <f>AR125/AQ125-1</f>
        <v>0.49582569741396854</v>
      </c>
      <c r="AS126" s="572">
        <f>AS125/AR125-1</f>
        <v>0.22978491696161174</v>
      </c>
      <c r="AT126" s="191"/>
      <c r="AU126" s="572">
        <f>AU125/AS125-1</f>
        <v>-3.6417976533097196E-2</v>
      </c>
      <c r="AV126" s="573">
        <f>AV125/AU125-1</f>
        <v>0.13429063756461801</v>
      </c>
      <c r="AW126" s="844">
        <f>AW125/AV125-1</f>
        <v>0.18209438930524602</v>
      </c>
      <c r="AX126" s="1004">
        <f>AX125/AW125-1</f>
        <v>0.23638441428902413</v>
      </c>
      <c r="AY126" s="191"/>
      <c r="AZ126" s="1004">
        <f>AZ125/AX125-1</f>
        <v>0.28412599290775242</v>
      </c>
      <c r="BA126" s="1004">
        <f>BA125/AZ125-1</f>
        <v>0.16260974287170371</v>
      </c>
      <c r="BB126" s="1004">
        <f>BB125/BA125-1</f>
        <v>0.19602887406427083</v>
      </c>
      <c r="BC126" s="1004">
        <f>BC125/BB125-1</f>
        <v>0.12350532944004455</v>
      </c>
      <c r="BD126" s="191"/>
      <c r="BE126" s="191"/>
      <c r="BF126" s="191"/>
      <c r="BG126" s="191"/>
      <c r="BH126" s="572"/>
    </row>
    <row r="127" spans="1:60" s="574" customFormat="1" hidden="1" outlineLevel="1" x14ac:dyDescent="0.25">
      <c r="A127" s="372" t="s">
        <v>728</v>
      </c>
      <c r="B127" s="641"/>
      <c r="C127" s="191"/>
      <c r="D127" s="571">
        <f>D125/C125-1</f>
        <v>-0.132790795315473</v>
      </c>
      <c r="E127" s="571">
        <f>E125/D125-1</f>
        <v>0.53039823646964313</v>
      </c>
      <c r="F127" s="571">
        <f>F125/E125-1</f>
        <v>1.5961108717893491</v>
      </c>
      <c r="G127" s="1004"/>
      <c r="H127" s="1004"/>
      <c r="I127" s="1004"/>
      <c r="J127" s="1004"/>
      <c r="K127" s="571">
        <f t="shared" ref="K127:BD127" si="84">K125/F125-1</f>
        <v>4.1796504528142409</v>
      </c>
      <c r="L127" s="572">
        <f t="shared" si="84"/>
        <v>6.0640882704164012E-2</v>
      </c>
      <c r="M127" s="572">
        <f t="shared" si="84"/>
        <v>0.81261658385943925</v>
      </c>
      <c r="N127" s="572">
        <f t="shared" si="84"/>
        <v>0.85941989232814797</v>
      </c>
      <c r="O127" s="572">
        <f t="shared" si="84"/>
        <v>0.457629671344286</v>
      </c>
      <c r="P127" s="571">
        <f t="shared" si="84"/>
        <v>0.50517222565379871</v>
      </c>
      <c r="Q127" s="572">
        <f t="shared" si="84"/>
        <v>0.51700457315778858</v>
      </c>
      <c r="R127" s="572">
        <f t="shared" si="84"/>
        <v>0.20645096581752043</v>
      </c>
      <c r="S127" s="572">
        <f t="shared" si="84"/>
        <v>6.5806991992899189E-2</v>
      </c>
      <c r="T127" s="572">
        <f t="shared" si="84"/>
        <v>0.25450698340962918</v>
      </c>
      <c r="U127" s="571">
        <f t="shared" si="84"/>
        <v>0.24408316295378918</v>
      </c>
      <c r="V127" s="572">
        <f t="shared" si="84"/>
        <v>0.14859624770518964</v>
      </c>
      <c r="W127" s="573">
        <f t="shared" si="84"/>
        <v>0.34593492694370731</v>
      </c>
      <c r="X127" s="573">
        <f t="shared" si="84"/>
        <v>1.2490537267390374</v>
      </c>
      <c r="Y127" s="572">
        <f t="shared" si="84"/>
        <v>0.55723951842780006</v>
      </c>
      <c r="Z127" s="571">
        <f t="shared" si="84"/>
        <v>0.49399821917987641</v>
      </c>
      <c r="AA127" s="572">
        <f t="shared" si="84"/>
        <v>0.98336556004303799</v>
      </c>
      <c r="AB127" s="573">
        <f t="shared" si="84"/>
        <v>0.70397985534567775</v>
      </c>
      <c r="AC127" s="573">
        <f t="shared" si="84"/>
        <v>8.3073699230537423E-2</v>
      </c>
      <c r="AD127" s="572">
        <f t="shared" si="84"/>
        <v>0.38498398055936089</v>
      </c>
      <c r="AE127" s="571">
        <f t="shared" si="84"/>
        <v>0.52706053150407595</v>
      </c>
      <c r="AF127" s="572">
        <f t="shared" si="84"/>
        <v>0.25887246567668787</v>
      </c>
      <c r="AG127" s="573">
        <f t="shared" si="84"/>
        <v>0.54820960030826504</v>
      </c>
      <c r="AH127" s="573">
        <f t="shared" si="84"/>
        <v>1.8305567740838846</v>
      </c>
      <c r="AI127" s="572">
        <f t="shared" si="84"/>
        <v>1.5210445023450569</v>
      </c>
      <c r="AJ127" s="571">
        <f t="shared" si="84"/>
        <v>1.0658505367232691</v>
      </c>
      <c r="AK127" s="572">
        <f t="shared" si="84"/>
        <v>0.36959562134228707</v>
      </c>
      <c r="AL127" s="573">
        <f t="shared" si="84"/>
        <v>0.65755316538721198</v>
      </c>
      <c r="AM127" s="573">
        <f t="shared" si="84"/>
        <v>-0.12695921698516843</v>
      </c>
      <c r="AN127" s="572">
        <f t="shared" si="84"/>
        <v>1.1486183106826697E-2</v>
      </c>
      <c r="AO127" s="571">
        <f t="shared" si="84"/>
        <v>0.13160962507944607</v>
      </c>
      <c r="AP127" s="572">
        <f t="shared" si="84"/>
        <v>0.39451729266993496</v>
      </c>
      <c r="AQ127" s="573">
        <f t="shared" si="84"/>
        <v>-4.9734066791833675E-2</v>
      </c>
      <c r="AR127" s="573">
        <f t="shared" si="84"/>
        <v>0.43141075604053003</v>
      </c>
      <c r="AS127" s="572">
        <f t="shared" si="84"/>
        <v>0.47056142434471004</v>
      </c>
      <c r="AT127" s="571">
        <f t="shared" si="84"/>
        <v>0.31234963913392133</v>
      </c>
      <c r="AU127" s="572">
        <f t="shared" si="84"/>
        <v>0.77907214387901091</v>
      </c>
      <c r="AV127" s="573">
        <f t="shared" si="84"/>
        <v>1.0105884748523724</v>
      </c>
      <c r="AW127" s="844">
        <f t="shared" si="84"/>
        <v>0.58889191396678475</v>
      </c>
      <c r="AX127" s="1004">
        <f t="shared" si="84"/>
        <v>0.59741851711107907</v>
      </c>
      <c r="AY127" s="191">
        <f t="shared" si="84"/>
        <v>0.70646497416672371</v>
      </c>
      <c r="AZ127" s="1004">
        <f t="shared" si="84"/>
        <v>1.1288137277552188</v>
      </c>
      <c r="BA127" s="1004">
        <f t="shared" si="84"/>
        <v>1.1819624518466978</v>
      </c>
      <c r="BB127" s="1004">
        <f t="shared" si="84"/>
        <v>1.2076833441926058</v>
      </c>
      <c r="BC127" s="1004">
        <f t="shared" si="84"/>
        <v>1.0061268762779743</v>
      </c>
      <c r="BD127" s="191">
        <f t="shared" si="84"/>
        <v>1.1215368289395413</v>
      </c>
      <c r="BE127" s="191">
        <f>BE125/BD125-1</f>
        <v>0.2061972421931848</v>
      </c>
      <c r="BF127" s="191">
        <f>BF125/BE125-1</f>
        <v>0.20531720857553326</v>
      </c>
      <c r="BG127" s="191">
        <f>BG125/BF125-1</f>
        <v>0.2054080037594932</v>
      </c>
      <c r="BH127" s="572"/>
    </row>
    <row r="128" spans="1:60" s="114" customFormat="1" ht="7.5" hidden="1" customHeight="1" outlineLevel="1" x14ac:dyDescent="0.25">
      <c r="A128" s="635"/>
      <c r="B128" s="642"/>
      <c r="C128" s="252"/>
      <c r="D128" s="252"/>
      <c r="E128" s="252"/>
      <c r="F128" s="252"/>
      <c r="G128" s="370"/>
      <c r="H128" s="370"/>
      <c r="I128" s="370"/>
      <c r="J128" s="370"/>
      <c r="K128" s="252"/>
      <c r="L128" s="370"/>
      <c r="M128" s="370"/>
      <c r="N128" s="370"/>
      <c r="O128" s="370"/>
      <c r="P128" s="252"/>
      <c r="Q128" s="370"/>
      <c r="R128" s="370"/>
      <c r="S128" s="370"/>
      <c r="T128" s="370"/>
      <c r="U128" s="252"/>
      <c r="V128" s="370"/>
      <c r="W128" s="370"/>
      <c r="X128" s="370"/>
      <c r="Y128" s="370"/>
      <c r="Z128" s="252"/>
      <c r="AA128" s="370"/>
      <c r="AB128" s="370"/>
      <c r="AC128" s="370"/>
      <c r="AD128" s="370"/>
      <c r="AE128" s="252"/>
      <c r="AF128" s="370"/>
      <c r="AG128" s="370"/>
      <c r="AH128" s="370"/>
      <c r="AI128" s="370"/>
      <c r="AJ128" s="252"/>
      <c r="AK128" s="370"/>
      <c r="AL128" s="370"/>
      <c r="AM128" s="370"/>
      <c r="AN128" s="370"/>
      <c r="AO128" s="252"/>
      <c r="AP128" s="370"/>
      <c r="AQ128" s="370"/>
      <c r="AR128" s="370"/>
      <c r="AS128" s="370"/>
      <c r="AT128" s="252"/>
      <c r="AU128" s="370"/>
      <c r="AV128" s="370"/>
      <c r="AW128" s="728"/>
      <c r="AX128" s="370"/>
      <c r="AY128" s="252"/>
      <c r="AZ128" s="370"/>
      <c r="BA128" s="370"/>
      <c r="BB128" s="370"/>
      <c r="BC128" s="370"/>
      <c r="BD128" s="252"/>
      <c r="BE128" s="252"/>
      <c r="BF128" s="252"/>
      <c r="BG128" s="252"/>
      <c r="BH128" s="365"/>
    </row>
    <row r="129" spans="1:60" s="116" customFormat="1" hidden="1" outlineLevel="1" x14ac:dyDescent="0.25">
      <c r="A129" s="530" t="s">
        <v>730</v>
      </c>
      <c r="B129" s="637"/>
      <c r="C129" s="438">
        <f t="shared" ref="C129:AW129" si="85">C241</f>
        <v>9.5349999999999966</v>
      </c>
      <c r="D129" s="438">
        <f t="shared" si="85"/>
        <v>17.096000000000004</v>
      </c>
      <c r="E129" s="438">
        <f t="shared" si="85"/>
        <v>33.086000000000013</v>
      </c>
      <c r="F129" s="438">
        <f t="shared" si="85"/>
        <v>14.040999999999997</v>
      </c>
      <c r="G129" s="437">
        <f t="shared" si="85"/>
        <v>93.384999999999991</v>
      </c>
      <c r="H129" s="437">
        <f t="shared" si="85"/>
        <v>97.936000000000035</v>
      </c>
      <c r="I129" s="437">
        <f t="shared" si="85"/>
        <v>105.31300000000005</v>
      </c>
      <c r="J129" s="437">
        <f t="shared" si="85"/>
        <v>157.27400000000011</v>
      </c>
      <c r="K129" s="438">
        <f t="shared" si="85"/>
        <v>453.90800000000013</v>
      </c>
      <c r="L129" s="437">
        <f t="shared" si="85"/>
        <v>152.61699999999996</v>
      </c>
      <c r="M129" s="437">
        <f t="shared" si="85"/>
        <v>208.01799999999992</v>
      </c>
      <c r="N129" s="437">
        <f t="shared" si="85"/>
        <v>246.928</v>
      </c>
      <c r="O129" s="437">
        <f t="shared" si="85"/>
        <v>253.69899999999996</v>
      </c>
      <c r="P129" s="438">
        <f t="shared" si="85"/>
        <v>861.26300000000037</v>
      </c>
      <c r="Q129" s="437">
        <f t="shared" si="85"/>
        <v>261.57500000000005</v>
      </c>
      <c r="R129" s="437">
        <f t="shared" si="85"/>
        <v>211.70400000000006</v>
      </c>
      <c r="S129" s="437">
        <f t="shared" si="85"/>
        <v>223.82599999999991</v>
      </c>
      <c r="T129" s="437">
        <f t="shared" si="85"/>
        <v>220.56600000000003</v>
      </c>
      <c r="U129" s="438">
        <f t="shared" si="85"/>
        <v>917.67099999999982</v>
      </c>
      <c r="V129" s="437">
        <f t="shared" si="85"/>
        <v>246.74800000000005</v>
      </c>
      <c r="W129" s="437">
        <f t="shared" si="85"/>
        <v>272.57000000000005</v>
      </c>
      <c r="X129" s="437">
        <f t="shared" si="85"/>
        <v>562.33999999999992</v>
      </c>
      <c r="Y129" s="437">
        <f t="shared" si="85"/>
        <v>366.84500000000003</v>
      </c>
      <c r="Z129" s="438">
        <f t="shared" si="85"/>
        <v>1320.9199999999992</v>
      </c>
      <c r="AA129" s="437">
        <f t="shared" si="85"/>
        <v>538.41100000000006</v>
      </c>
      <c r="AB129" s="437">
        <f t="shared" si="85"/>
        <v>541.27400000000011</v>
      </c>
      <c r="AC129" s="437">
        <f t="shared" si="85"/>
        <v>321.10900000000015</v>
      </c>
      <c r="AD129" s="437">
        <f t="shared" si="85"/>
        <v>409.47799999999984</v>
      </c>
      <c r="AE129" s="438">
        <f t="shared" si="85"/>
        <v>1810.2720000000008</v>
      </c>
      <c r="AF129" s="437">
        <f t="shared" si="85"/>
        <v>470.48399999999992</v>
      </c>
      <c r="AG129" s="437">
        <f t="shared" si="85"/>
        <v>588.12599999999975</v>
      </c>
      <c r="AH129" s="437">
        <f t="shared" si="85"/>
        <v>1472.3860000000004</v>
      </c>
      <c r="AI129" s="437">
        <f t="shared" si="85"/>
        <v>1414.9540000000015</v>
      </c>
      <c r="AJ129" s="438">
        <f t="shared" si="85"/>
        <v>3945.9500000000007</v>
      </c>
      <c r="AK129" s="437">
        <f t="shared" si="85"/>
        <v>652.53200000000015</v>
      </c>
      <c r="AL129" s="437">
        <f t="shared" si="85"/>
        <v>914.26400000000012</v>
      </c>
      <c r="AM129" s="437">
        <f t="shared" si="85"/>
        <v>1118</v>
      </c>
      <c r="AN129" s="437">
        <f t="shared" si="85"/>
        <v>1328.2039999999997</v>
      </c>
      <c r="AO129" s="438">
        <f t="shared" si="85"/>
        <v>4013</v>
      </c>
      <c r="AP129" s="437">
        <f t="shared" si="85"/>
        <v>1194</v>
      </c>
      <c r="AQ129" s="437">
        <f t="shared" si="85"/>
        <v>1197</v>
      </c>
      <c r="AR129" s="437">
        <f t="shared" si="85"/>
        <v>1985</v>
      </c>
      <c r="AS129" s="437">
        <f t="shared" si="85"/>
        <v>2112</v>
      </c>
      <c r="AT129" s="438">
        <f t="shared" si="85"/>
        <v>6488</v>
      </c>
      <c r="AU129" s="437">
        <f t="shared" si="85"/>
        <v>2248</v>
      </c>
      <c r="AV129" s="437">
        <f t="shared" si="85"/>
        <v>2755</v>
      </c>
      <c r="AW129" s="725">
        <f t="shared" si="85"/>
        <v>3522</v>
      </c>
      <c r="AX129" s="437">
        <f>AX125*AX130</f>
        <v>4473.3961190675082</v>
      </c>
      <c r="AY129" s="438">
        <f>SUM(AU129,AV129,AW129,AX129)</f>
        <v>12998.396119067507</v>
      </c>
      <c r="AZ129" s="437">
        <f>AZ125*AZ130</f>
        <v>5744.7102850338451</v>
      </c>
      <c r="BA129" s="437">
        <f>BA125*BA130</f>
        <v>6678.856147355631</v>
      </c>
      <c r="BB129" s="437">
        <f>BB125*BB130</f>
        <v>8245.7855978931493</v>
      </c>
      <c r="BC129" s="437">
        <f>BC125*BC130</f>
        <v>9003.150757900954</v>
      </c>
      <c r="BD129" s="438">
        <f>SUM(AZ129,BA129,BB129,BC129)</f>
        <v>29672.502788183578</v>
      </c>
      <c r="BE129" s="438">
        <f>BE125*BE130</f>
        <v>35905.232108776196</v>
      </c>
      <c r="BF129" s="438">
        <f>BF125*BF130</f>
        <v>43415.011405999787</v>
      </c>
      <c r="BG129" s="438">
        <f>BG125*BG130</f>
        <v>52498.928269273682</v>
      </c>
      <c r="BH129" s="368"/>
    </row>
    <row r="130" spans="1:60" s="120" customFormat="1" hidden="1" outlineLevel="1" x14ac:dyDescent="0.25">
      <c r="A130" s="678" t="s">
        <v>731</v>
      </c>
      <c r="B130" s="639"/>
      <c r="C130" s="100">
        <f t="shared" ref="C130:AW130" si="86">C129/C125</f>
        <v>8.5177277721697614E-2</v>
      </c>
      <c r="D130" s="100">
        <f t="shared" si="86"/>
        <v>0.17610581182142199</v>
      </c>
      <c r="E130" s="100">
        <f t="shared" si="86"/>
        <v>0.22269936998546128</v>
      </c>
      <c r="F130" s="100">
        <f t="shared" si="86"/>
        <v>3.6404035271027396E-2</v>
      </c>
      <c r="G130" s="1005">
        <f t="shared" si="86"/>
        <v>0.16819973955472142</v>
      </c>
      <c r="H130" s="1005">
        <f t="shared" si="86"/>
        <v>0.24390401832965999</v>
      </c>
      <c r="I130" s="1005">
        <f t="shared" si="86"/>
        <v>0.2448023691526654</v>
      </c>
      <c r="J130" s="1005">
        <f t="shared" si="86"/>
        <v>0.25746662039250112</v>
      </c>
      <c r="K130" s="100">
        <f t="shared" si="86"/>
        <v>0.22720551650677306</v>
      </c>
      <c r="L130" s="1005">
        <f t="shared" si="86"/>
        <v>0.2591688162602675</v>
      </c>
      <c r="M130" s="1005">
        <f t="shared" si="86"/>
        <v>0.28580614402558835</v>
      </c>
      <c r="N130" s="1005">
        <f t="shared" si="86"/>
        <v>0.30869279860985233</v>
      </c>
      <c r="O130" s="1005">
        <f t="shared" si="86"/>
        <v>0.28492827910278118</v>
      </c>
      <c r="P130" s="100">
        <f t="shared" si="86"/>
        <v>0.28641821183287608</v>
      </c>
      <c r="Q130" s="1005">
        <f t="shared" si="86"/>
        <v>0.29281220615233067</v>
      </c>
      <c r="R130" s="1005">
        <f t="shared" si="86"/>
        <v>0.24109601521484136</v>
      </c>
      <c r="S130" s="1005">
        <f t="shared" si="86"/>
        <v>0.2625355548908867</v>
      </c>
      <c r="T130" s="1005">
        <f t="shared" si="86"/>
        <v>0.19746143268445707</v>
      </c>
      <c r="U130" s="100">
        <f t="shared" si="86"/>
        <v>0.24530275946926103</v>
      </c>
      <c r="V130" s="1005">
        <f t="shared" si="86"/>
        <v>0.24048012599603927</v>
      </c>
      <c r="W130" s="1005">
        <f t="shared" si="86"/>
        <v>0.23062955429275411</v>
      </c>
      <c r="X130" s="1005">
        <f t="shared" si="86"/>
        <v>0.29327614603205726</v>
      </c>
      <c r="Y130" s="1005">
        <f t="shared" si="86"/>
        <v>0.21089724389734912</v>
      </c>
      <c r="Z130" s="100">
        <f t="shared" si="86"/>
        <v>0.23634252023660005</v>
      </c>
      <c r="AA130" s="1005">
        <f t="shared" si="86"/>
        <v>0.26456762945564261</v>
      </c>
      <c r="AB130" s="1005">
        <f t="shared" si="86"/>
        <v>0.26877546115603335</v>
      </c>
      <c r="AC130" s="1005">
        <f t="shared" si="86"/>
        <v>0.15462233673980891</v>
      </c>
      <c r="AD130" s="1005">
        <f t="shared" si="86"/>
        <v>0.16997072361607543</v>
      </c>
      <c r="AE130" s="100">
        <f t="shared" si="86"/>
        <v>0.21210598737959824</v>
      </c>
      <c r="AF130" s="1005">
        <f t="shared" si="86"/>
        <v>0.18364787435481972</v>
      </c>
      <c r="AG130" s="1005">
        <f t="shared" si="86"/>
        <v>0.18863100230446145</v>
      </c>
      <c r="AH130" s="1005">
        <f t="shared" si="86"/>
        <v>0.25047798642635938</v>
      </c>
      <c r="AI130" s="1005">
        <f t="shared" si="86"/>
        <v>0.23297287498367936</v>
      </c>
      <c r="AJ130" s="100">
        <f t="shared" si="86"/>
        <v>0.22380087209714516</v>
      </c>
      <c r="AK130" s="1005">
        <f t="shared" si="86"/>
        <v>0.18597325935428125</v>
      </c>
      <c r="AL130" s="1005">
        <f t="shared" si="86"/>
        <v>0.17690774448353311</v>
      </c>
      <c r="AM130" s="1005">
        <f t="shared" si="86"/>
        <v>0.21784879189399844</v>
      </c>
      <c r="AN130" s="1005">
        <f t="shared" si="86"/>
        <v>0.21620606221611033</v>
      </c>
      <c r="AO130" s="100">
        <f t="shared" si="86"/>
        <v>0.20113271852445871</v>
      </c>
      <c r="AP130" s="1005">
        <f t="shared" si="86"/>
        <v>0.2440220723482526</v>
      </c>
      <c r="AQ130" s="1005">
        <f t="shared" si="86"/>
        <v>0.24373854612095297</v>
      </c>
      <c r="AR130" s="1005">
        <f t="shared" si="86"/>
        <v>0.27021508303838826</v>
      </c>
      <c r="AS130" s="1005">
        <f t="shared" si="86"/>
        <v>0.23378348461368165</v>
      </c>
      <c r="AT130" s="100">
        <f t="shared" si="86"/>
        <v>0.2477849068133211</v>
      </c>
      <c r="AU130" s="1005">
        <f t="shared" si="86"/>
        <v>0.2582423894313613</v>
      </c>
      <c r="AV130" s="1005">
        <f t="shared" si="86"/>
        <v>0.27901559651610292</v>
      </c>
      <c r="AW130" s="727">
        <f t="shared" si="86"/>
        <v>0.30174777244688145</v>
      </c>
      <c r="AX130" s="366">
        <f>AS130+AX131/10000</f>
        <v>0.30998348461368164</v>
      </c>
      <c r="AY130" s="93">
        <f>AY129/AY125</f>
        <v>0.29090849046962741</v>
      </c>
      <c r="AZ130" s="366">
        <f t="shared" ref="AZ130:BC130" si="87">AU130+AZ131/10000</f>
        <v>0.31</v>
      </c>
      <c r="BA130" s="366">
        <f t="shared" si="87"/>
        <v>0.31</v>
      </c>
      <c r="BB130" s="366">
        <f t="shared" si="87"/>
        <v>0.32</v>
      </c>
      <c r="BC130" s="366">
        <f t="shared" si="87"/>
        <v>0.31098348461368164</v>
      </c>
      <c r="BD130" s="93">
        <f>BD129/BD125</f>
        <v>0.31301866367862602</v>
      </c>
      <c r="BE130" s="93">
        <f>BD130+BE131/10000</f>
        <v>0.31401866367862602</v>
      </c>
      <c r="BF130" s="93">
        <f t="shared" ref="BF130:BG130" si="88">BE130+BF131/10000</f>
        <v>0.31501866367862602</v>
      </c>
      <c r="BG130" s="93">
        <f t="shared" si="88"/>
        <v>0.31601866367862602</v>
      </c>
      <c r="BH130" s="366"/>
    </row>
    <row r="131" spans="1:60" s="993" customFormat="1" hidden="1" outlineLevel="1" x14ac:dyDescent="0.25">
      <c r="A131" s="222" t="s">
        <v>796</v>
      </c>
      <c r="B131" s="919"/>
      <c r="C131" s="440"/>
      <c r="D131" s="440">
        <f>(D130-C130)*10000</f>
        <v>909.28534099724368</v>
      </c>
      <c r="E131" s="440">
        <f>(E130-D130)*10000</f>
        <v>465.93558164039291</v>
      </c>
      <c r="F131" s="440">
        <f>(F130-E130)*10000</f>
        <v>-1862.9533471443387</v>
      </c>
      <c r="G131" s="439"/>
      <c r="H131" s="439"/>
      <c r="I131" s="439"/>
      <c r="J131" s="439"/>
      <c r="K131" s="440">
        <f t="shared" ref="K131:AW131" si="89">(K130-F130)*10000</f>
        <v>1908.0148123574568</v>
      </c>
      <c r="L131" s="439">
        <f t="shared" si="89"/>
        <v>909.69076705546081</v>
      </c>
      <c r="M131" s="439">
        <f t="shared" si="89"/>
        <v>419.02125695928356</v>
      </c>
      <c r="N131" s="439">
        <f t="shared" si="89"/>
        <v>638.90429457186929</v>
      </c>
      <c r="O131" s="439">
        <f t="shared" si="89"/>
        <v>274.61658710280057</v>
      </c>
      <c r="P131" s="440">
        <f t="shared" si="89"/>
        <v>592.12695326103017</v>
      </c>
      <c r="Q131" s="439">
        <f t="shared" si="89"/>
        <v>336.43389892063169</v>
      </c>
      <c r="R131" s="439">
        <f t="shared" si="89"/>
        <v>-447.10128810746983</v>
      </c>
      <c r="S131" s="439">
        <f t="shared" si="89"/>
        <v>-461.57243718965623</v>
      </c>
      <c r="T131" s="439">
        <f t="shared" si="89"/>
        <v>-874.6684641832411</v>
      </c>
      <c r="U131" s="440">
        <f t="shared" si="89"/>
        <v>-411.15452363615054</v>
      </c>
      <c r="V131" s="439">
        <f t="shared" si="89"/>
        <v>-523.32080156291397</v>
      </c>
      <c r="W131" s="439">
        <f t="shared" si="89"/>
        <v>-104.66460922087251</v>
      </c>
      <c r="X131" s="439">
        <f t="shared" si="89"/>
        <v>307.40591141170557</v>
      </c>
      <c r="Y131" s="439">
        <f t="shared" si="89"/>
        <v>134.35811212892057</v>
      </c>
      <c r="Z131" s="440">
        <f t="shared" si="89"/>
        <v>-89.602392326609831</v>
      </c>
      <c r="AA131" s="439">
        <f t="shared" si="89"/>
        <v>240.87503459603337</v>
      </c>
      <c r="AB131" s="439">
        <f t="shared" si="89"/>
        <v>381.45906863279231</v>
      </c>
      <c r="AC131" s="439">
        <f t="shared" si="89"/>
        <v>-1386.5380929224834</v>
      </c>
      <c r="AD131" s="439">
        <f t="shared" si="89"/>
        <v>-409.2652028127369</v>
      </c>
      <c r="AE131" s="440">
        <f t="shared" si="89"/>
        <v>-242.36532857001808</v>
      </c>
      <c r="AF131" s="439">
        <f t="shared" si="89"/>
        <v>-809.19755100822886</v>
      </c>
      <c r="AG131" s="439">
        <f t="shared" si="89"/>
        <v>-801.44458851571903</v>
      </c>
      <c r="AH131" s="439">
        <f t="shared" si="89"/>
        <v>958.55649686550476</v>
      </c>
      <c r="AI131" s="439">
        <f t="shared" si="89"/>
        <v>630.02151367603926</v>
      </c>
      <c r="AJ131" s="440">
        <f t="shared" si="89"/>
        <v>116.94884717546927</v>
      </c>
      <c r="AK131" s="439">
        <f t="shared" si="89"/>
        <v>23.253849994615273</v>
      </c>
      <c r="AL131" s="439">
        <f t="shared" si="89"/>
        <v>-117.2325782092834</v>
      </c>
      <c r="AM131" s="439">
        <f t="shared" si="89"/>
        <v>-326.29194532360935</v>
      </c>
      <c r="AN131" s="439">
        <f t="shared" si="89"/>
        <v>-167.66812767569027</v>
      </c>
      <c r="AO131" s="440">
        <f t="shared" si="89"/>
        <v>-226.6815357268645</v>
      </c>
      <c r="AP131" s="439">
        <f t="shared" si="89"/>
        <v>580.48812993971353</v>
      </c>
      <c r="AQ131" s="439">
        <f t="shared" si="89"/>
        <v>668.30801637419859</v>
      </c>
      <c r="AR131" s="439">
        <f t="shared" si="89"/>
        <v>523.66291144389811</v>
      </c>
      <c r="AS131" s="439">
        <f t="shared" si="89"/>
        <v>175.7742239757132</v>
      </c>
      <c r="AT131" s="440">
        <f t="shared" si="89"/>
        <v>466.52188288862391</v>
      </c>
      <c r="AU131" s="439">
        <f t="shared" si="89"/>
        <v>142.20317083108696</v>
      </c>
      <c r="AV131" s="439">
        <f t="shared" si="89"/>
        <v>352.77050395149945</v>
      </c>
      <c r="AW131" s="726">
        <f t="shared" si="89"/>
        <v>315.32689408493184</v>
      </c>
      <c r="AX131" s="1006">
        <v>762</v>
      </c>
      <c r="AY131" s="591">
        <f>(AY130-AT130)*10000</f>
        <v>431.23583656306306</v>
      </c>
      <c r="AZ131" s="1006">
        <v>517.576105686387</v>
      </c>
      <c r="BA131" s="1006">
        <v>309.84403483897086</v>
      </c>
      <c r="BB131" s="1006">
        <v>182.52227553118561</v>
      </c>
      <c r="BC131" s="1006">
        <v>10</v>
      </c>
      <c r="BD131" s="591">
        <f>(BD130-AY130)*10000</f>
        <v>221.10173208998606</v>
      </c>
      <c r="BE131" s="1007">
        <v>10</v>
      </c>
      <c r="BF131" s="1007">
        <v>10</v>
      </c>
      <c r="BG131" s="1007">
        <v>10</v>
      </c>
      <c r="BH131" s="992"/>
    </row>
    <row r="132" spans="1:60" s="112" customFormat="1" collapsed="1" x14ac:dyDescent="0.25">
      <c r="A132" s="506"/>
      <c r="B132" s="638"/>
      <c r="C132" s="1045"/>
      <c r="D132" s="1045"/>
      <c r="E132" s="1045"/>
      <c r="F132" s="1045"/>
      <c r="G132" s="1046"/>
      <c r="H132" s="1046"/>
      <c r="I132" s="1046"/>
      <c r="J132" s="1046"/>
      <c r="K132" s="1045"/>
      <c r="L132" s="1046"/>
      <c r="M132" s="1046"/>
      <c r="N132" s="1046"/>
      <c r="O132" s="1046"/>
      <c r="P132" s="1045"/>
      <c r="Q132" s="1046"/>
      <c r="R132" s="1046"/>
      <c r="S132" s="1046"/>
      <c r="T132" s="1046"/>
      <c r="U132" s="1045"/>
      <c r="V132" s="1046"/>
      <c r="W132" s="1046"/>
      <c r="X132" s="1046"/>
      <c r="Y132" s="1046"/>
      <c r="Z132" s="1045"/>
      <c r="AA132" s="1046"/>
      <c r="AB132" s="1046"/>
      <c r="AC132" s="1046"/>
      <c r="AD132" s="1046"/>
      <c r="AE132" s="1045"/>
      <c r="AF132" s="1046"/>
      <c r="AG132" s="1046"/>
      <c r="AH132" s="1046"/>
      <c r="AI132" s="1046"/>
      <c r="AJ132" s="1045"/>
      <c r="AK132" s="1046"/>
      <c r="AL132" s="1046"/>
      <c r="AM132" s="1046"/>
      <c r="AN132" s="1046"/>
      <c r="AO132" s="1045"/>
      <c r="AP132" s="1046"/>
      <c r="AQ132" s="1046"/>
      <c r="AR132" s="1046"/>
      <c r="AS132" s="1046"/>
      <c r="AT132" s="1045"/>
      <c r="AU132" s="1046"/>
      <c r="AV132" s="1046"/>
      <c r="AW132" s="1047"/>
      <c r="AX132" s="1046"/>
      <c r="AY132" s="1045"/>
      <c r="AZ132" s="1046"/>
      <c r="BA132" s="1046"/>
      <c r="BB132" s="1046"/>
      <c r="BC132" s="1046"/>
      <c r="BD132" s="1045"/>
      <c r="BE132" s="1045"/>
      <c r="BF132" s="1045"/>
      <c r="BG132" s="1045"/>
      <c r="BH132" s="1034"/>
    </row>
    <row r="133" spans="1:60" s="112" customFormat="1" x14ac:dyDescent="0.25">
      <c r="A133" s="1020" t="s">
        <v>808</v>
      </c>
      <c r="B133" s="1020"/>
      <c r="C133" s="1043"/>
      <c r="D133" s="1043"/>
      <c r="E133" s="1043"/>
      <c r="F133" s="1043"/>
      <c r="G133" s="1043"/>
      <c r="H133" s="1043"/>
      <c r="I133" s="1043"/>
      <c r="J133" s="1043"/>
      <c r="K133" s="1043"/>
      <c r="L133" s="1043"/>
      <c r="M133" s="1043"/>
      <c r="N133" s="1043"/>
      <c r="O133" s="1043"/>
      <c r="P133" s="1043"/>
      <c r="Q133" s="1043"/>
      <c r="R133" s="1043"/>
      <c r="S133" s="1043"/>
      <c r="T133" s="1043"/>
      <c r="U133" s="1043"/>
      <c r="V133" s="1043"/>
      <c r="W133" s="1043"/>
      <c r="X133" s="1043"/>
      <c r="Y133" s="1043"/>
      <c r="Z133" s="1043"/>
      <c r="AA133" s="1043"/>
      <c r="AB133" s="1043"/>
      <c r="AC133" s="1043"/>
      <c r="AD133" s="1043"/>
      <c r="AE133" s="1043"/>
      <c r="AF133" s="1043"/>
      <c r="AG133" s="1043"/>
      <c r="AH133" s="1043"/>
      <c r="AI133" s="1043"/>
      <c r="AJ133" s="1043"/>
      <c r="AK133" s="1043"/>
      <c r="AL133" s="1043"/>
      <c r="AM133" s="1043"/>
      <c r="AN133" s="1043"/>
      <c r="AO133" s="1043"/>
      <c r="AP133" s="1043"/>
      <c r="AQ133" s="1043"/>
      <c r="AR133" s="1043"/>
      <c r="AS133" s="1043"/>
      <c r="AT133" s="1043"/>
      <c r="AU133" s="1043"/>
      <c r="AV133" s="1043"/>
      <c r="AW133" s="1044"/>
      <c r="AX133" s="1043"/>
      <c r="AY133" s="1043"/>
      <c r="AZ133" s="1043"/>
      <c r="BA133" s="1043"/>
      <c r="BB133" s="1043"/>
      <c r="BC133" s="1043"/>
      <c r="BD133" s="1043"/>
      <c r="BE133" s="1043"/>
      <c r="BF133" s="1043"/>
      <c r="BG133" s="1043"/>
      <c r="BH133" s="1034"/>
    </row>
    <row r="134" spans="1:60" s="356" customFormat="1" hidden="1" outlineLevel="2" x14ac:dyDescent="0.25">
      <c r="A134" s="452" t="s">
        <v>773</v>
      </c>
      <c r="B134" s="450"/>
      <c r="C134" s="440"/>
      <c r="D134" s="35">
        <f>D87</f>
        <v>1500</v>
      </c>
      <c r="E134" s="35">
        <f>E87</f>
        <v>650</v>
      </c>
      <c r="F134" s="35">
        <f>F87</f>
        <v>500</v>
      </c>
      <c r="G134" s="439"/>
      <c r="H134" s="439"/>
      <c r="I134" s="439"/>
      <c r="J134" s="439"/>
      <c r="K134" s="440"/>
      <c r="L134" s="439"/>
      <c r="M134" s="439"/>
      <c r="N134" s="439"/>
      <c r="O134" s="439"/>
      <c r="P134" s="440"/>
      <c r="Q134" s="439"/>
      <c r="R134" s="439"/>
      <c r="S134" s="439"/>
      <c r="T134" s="439"/>
      <c r="U134" s="440"/>
      <c r="V134" s="439"/>
      <c r="W134" s="439"/>
      <c r="X134" s="439"/>
      <c r="Y134" s="439"/>
      <c r="Z134" s="440"/>
      <c r="AA134" s="439"/>
      <c r="AB134" s="439"/>
      <c r="AC134" s="439"/>
      <c r="AD134" s="439"/>
      <c r="AE134" s="440"/>
      <c r="AF134" s="439"/>
      <c r="AG134" s="439"/>
      <c r="AH134" s="439"/>
      <c r="AI134" s="439"/>
      <c r="AJ134" s="440"/>
      <c r="AK134" s="439"/>
      <c r="AL134" s="439"/>
      <c r="AM134" s="439"/>
      <c r="AN134" s="439"/>
      <c r="AO134" s="440"/>
      <c r="AP134" s="439"/>
      <c r="AQ134" s="439"/>
      <c r="AR134" s="439"/>
      <c r="AS134" s="439"/>
      <c r="AT134" s="440"/>
      <c r="AU134" s="439"/>
      <c r="AV134" s="439"/>
      <c r="AW134" s="726"/>
      <c r="AX134" s="439"/>
      <c r="AY134" s="440"/>
      <c r="AZ134" s="439"/>
      <c r="BA134" s="439"/>
      <c r="BB134" s="439"/>
      <c r="BC134" s="439"/>
      <c r="BD134" s="440"/>
      <c r="BE134" s="440"/>
      <c r="BF134" s="440"/>
      <c r="BG134" s="440"/>
      <c r="BH134" s="361"/>
    </row>
    <row r="135" spans="1:60" s="356" customFormat="1" hidden="1" outlineLevel="2" x14ac:dyDescent="0.25">
      <c r="A135" s="452" t="s">
        <v>777</v>
      </c>
      <c r="B135" s="450"/>
      <c r="C135" s="440"/>
      <c r="D135" s="440"/>
      <c r="E135" s="440"/>
      <c r="F135" s="440">
        <f t="shared" ref="F135:AK135" si="90">F90</f>
        <v>2650</v>
      </c>
      <c r="G135" s="439">
        <f t="shared" si="90"/>
        <v>4900</v>
      </c>
      <c r="H135" s="439">
        <f t="shared" si="90"/>
        <v>5150</v>
      </c>
      <c r="I135" s="439">
        <f t="shared" si="90"/>
        <v>5500</v>
      </c>
      <c r="J135" s="439">
        <f t="shared" si="90"/>
        <v>6892</v>
      </c>
      <c r="K135" s="440">
        <f t="shared" si="90"/>
        <v>22442</v>
      </c>
      <c r="L135" s="439">
        <f t="shared" si="90"/>
        <v>6457</v>
      </c>
      <c r="M135" s="439">
        <f t="shared" si="90"/>
        <v>7579</v>
      </c>
      <c r="N135" s="439">
        <f t="shared" si="90"/>
        <v>7785</v>
      </c>
      <c r="O135" s="439">
        <f t="shared" si="90"/>
        <v>9834</v>
      </c>
      <c r="P135" s="440">
        <f t="shared" si="90"/>
        <v>31655</v>
      </c>
      <c r="Q135" s="439">
        <f t="shared" si="90"/>
        <v>10045</v>
      </c>
      <c r="R135" s="439">
        <f t="shared" si="90"/>
        <v>11532</v>
      </c>
      <c r="S135" s="439">
        <f t="shared" si="90"/>
        <v>11603</v>
      </c>
      <c r="T135" s="439">
        <f t="shared" si="90"/>
        <v>17478</v>
      </c>
      <c r="U135" s="440">
        <f t="shared" si="90"/>
        <v>50658</v>
      </c>
      <c r="V135" s="439">
        <f t="shared" si="90"/>
        <v>14820</v>
      </c>
      <c r="W135" s="439">
        <f t="shared" si="90"/>
        <v>14402</v>
      </c>
      <c r="X135" s="439">
        <f t="shared" si="90"/>
        <v>24821</v>
      </c>
      <c r="Y135" s="439">
        <f t="shared" si="90"/>
        <v>22200</v>
      </c>
      <c r="Z135" s="440">
        <f t="shared" si="90"/>
        <v>76243</v>
      </c>
      <c r="AA135" s="439">
        <f t="shared" si="90"/>
        <v>25000</v>
      </c>
      <c r="AB135" s="439">
        <f t="shared" si="90"/>
        <v>22000</v>
      </c>
      <c r="AC135" s="439">
        <f t="shared" si="90"/>
        <v>25915</v>
      </c>
      <c r="AD135" s="439">
        <f t="shared" si="90"/>
        <v>28425</v>
      </c>
      <c r="AE135" s="440">
        <f t="shared" si="90"/>
        <v>101340</v>
      </c>
      <c r="AF135" s="439">
        <f t="shared" si="90"/>
        <v>21815</v>
      </c>
      <c r="AG135" s="439">
        <f t="shared" si="90"/>
        <v>22319</v>
      </c>
      <c r="AH135" s="439">
        <f t="shared" si="90"/>
        <v>27710</v>
      </c>
      <c r="AI135" s="439">
        <f t="shared" si="90"/>
        <v>27607</v>
      </c>
      <c r="AJ135" s="440">
        <f t="shared" si="90"/>
        <v>99451</v>
      </c>
      <c r="AK135" s="439">
        <f t="shared" si="90"/>
        <v>12091</v>
      </c>
      <c r="AL135" s="439">
        <f t="shared" ref="AL135:BG135" si="91">AL90</f>
        <v>17722</v>
      </c>
      <c r="AM135" s="439">
        <f t="shared" si="91"/>
        <v>17483</v>
      </c>
      <c r="AN135" s="439">
        <f t="shared" si="91"/>
        <v>19475</v>
      </c>
      <c r="AO135" s="440">
        <f t="shared" si="91"/>
        <v>66771</v>
      </c>
      <c r="AP135" s="439">
        <f t="shared" si="91"/>
        <v>12230</v>
      </c>
      <c r="AQ135" s="439">
        <f t="shared" si="91"/>
        <v>10614</v>
      </c>
      <c r="AR135" s="439">
        <f t="shared" si="91"/>
        <v>15275</v>
      </c>
      <c r="AS135" s="439">
        <f t="shared" si="91"/>
        <v>18966</v>
      </c>
      <c r="AT135" s="440">
        <f t="shared" si="91"/>
        <v>57085</v>
      </c>
      <c r="AU135" s="439">
        <f t="shared" si="91"/>
        <v>2030</v>
      </c>
      <c r="AV135" s="439">
        <f t="shared" si="91"/>
        <v>1895</v>
      </c>
      <c r="AW135" s="726">
        <f t="shared" si="91"/>
        <v>9289</v>
      </c>
      <c r="AX135" s="361">
        <f t="shared" si="91"/>
        <v>11750</v>
      </c>
      <c r="AY135" s="35">
        <f t="shared" si="91"/>
        <v>24964</v>
      </c>
      <c r="AZ135" s="361">
        <f t="shared" si="91"/>
        <v>12925.000000000002</v>
      </c>
      <c r="BA135" s="361">
        <f t="shared" si="91"/>
        <v>14863.750000000002</v>
      </c>
      <c r="BB135" s="361">
        <f t="shared" si="91"/>
        <v>17093.3125</v>
      </c>
      <c r="BC135" s="361">
        <f t="shared" si="91"/>
        <v>19657.309374999997</v>
      </c>
      <c r="BD135" s="35">
        <f t="shared" si="91"/>
        <v>64539.371874999997</v>
      </c>
      <c r="BE135" s="35">
        <f t="shared" si="91"/>
        <v>70993.309062500004</v>
      </c>
      <c r="BF135" s="35">
        <f t="shared" si="91"/>
        <v>78092.639968750009</v>
      </c>
      <c r="BG135" s="35">
        <f t="shared" si="91"/>
        <v>85901.90396562501</v>
      </c>
      <c r="BH135" s="361"/>
    </row>
    <row r="136" spans="1:60" s="356" customFormat="1" hidden="1" outlineLevel="2" x14ac:dyDescent="0.25">
      <c r="A136" s="452" t="s">
        <v>490</v>
      </c>
      <c r="B136" s="450"/>
      <c r="C136" s="440"/>
      <c r="D136" s="440"/>
      <c r="E136" s="440"/>
      <c r="F136" s="440"/>
      <c r="G136" s="439"/>
      <c r="H136" s="439"/>
      <c r="I136" s="439"/>
      <c r="J136" s="439"/>
      <c r="K136" s="440"/>
      <c r="L136" s="439"/>
      <c r="M136" s="439"/>
      <c r="N136" s="439"/>
      <c r="O136" s="439"/>
      <c r="P136" s="440"/>
      <c r="Q136" s="439"/>
      <c r="R136" s="439"/>
      <c r="S136" s="439"/>
      <c r="T136" s="439"/>
      <c r="U136" s="440"/>
      <c r="V136" s="439"/>
      <c r="W136" s="439"/>
      <c r="X136" s="439"/>
      <c r="Y136" s="439"/>
      <c r="Z136" s="440"/>
      <c r="AA136" s="439"/>
      <c r="AB136" s="439"/>
      <c r="AC136" s="439">
        <f t="shared" ref="AC136:BG136" si="92">AC93</f>
        <v>222</v>
      </c>
      <c r="AD136" s="439">
        <f t="shared" si="92"/>
        <v>1542</v>
      </c>
      <c r="AE136" s="440">
        <f t="shared" si="92"/>
        <v>1764</v>
      </c>
      <c r="AF136" s="439">
        <f t="shared" si="92"/>
        <v>8182</v>
      </c>
      <c r="AG136" s="439">
        <f t="shared" si="92"/>
        <v>18449</v>
      </c>
      <c r="AH136" s="439">
        <f t="shared" si="92"/>
        <v>56065</v>
      </c>
      <c r="AI136" s="439">
        <f t="shared" si="92"/>
        <v>63359</v>
      </c>
      <c r="AJ136" s="440">
        <f t="shared" si="92"/>
        <v>146055</v>
      </c>
      <c r="AK136" s="439">
        <f t="shared" si="92"/>
        <v>50928</v>
      </c>
      <c r="AL136" s="439">
        <f t="shared" si="92"/>
        <v>77634</v>
      </c>
      <c r="AM136" s="439">
        <f t="shared" si="92"/>
        <v>79703</v>
      </c>
      <c r="AN136" s="439">
        <f t="shared" si="92"/>
        <v>92620</v>
      </c>
      <c r="AO136" s="440">
        <f t="shared" si="92"/>
        <v>300885</v>
      </c>
      <c r="AP136" s="439">
        <f t="shared" si="92"/>
        <v>76266</v>
      </c>
      <c r="AQ136" s="439">
        <f t="shared" si="92"/>
        <v>80277</v>
      </c>
      <c r="AR136" s="439">
        <f t="shared" si="92"/>
        <v>124318</v>
      </c>
      <c r="AS136" s="439">
        <f t="shared" si="92"/>
        <v>161701</v>
      </c>
      <c r="AT136" s="440">
        <f t="shared" si="92"/>
        <v>442562</v>
      </c>
      <c r="AU136" s="439">
        <f t="shared" si="92"/>
        <v>182847</v>
      </c>
      <c r="AV136" s="439">
        <f t="shared" si="92"/>
        <v>199409</v>
      </c>
      <c r="AW136" s="726">
        <f t="shared" si="92"/>
        <v>232102</v>
      </c>
      <c r="AX136" s="361">
        <f t="shared" si="92"/>
        <v>296850</v>
      </c>
      <c r="AY136" s="35">
        <f t="shared" si="92"/>
        <v>911208</v>
      </c>
      <c r="AZ136" s="361">
        <f t="shared" si="92"/>
        <v>341377.5</v>
      </c>
      <c r="BA136" s="361">
        <f t="shared" si="92"/>
        <v>392584.12499999994</v>
      </c>
      <c r="BB136" s="361">
        <f t="shared" si="92"/>
        <v>451471.74374999991</v>
      </c>
      <c r="BC136" s="361">
        <f t="shared" si="92"/>
        <v>519192.50531249988</v>
      </c>
      <c r="BD136" s="35">
        <f t="shared" si="92"/>
        <v>1704625.8740624997</v>
      </c>
      <c r="BE136" s="35">
        <f t="shared" si="92"/>
        <v>1960319.7551718745</v>
      </c>
      <c r="BF136" s="35">
        <f t="shared" si="92"/>
        <v>2254367.7184476554</v>
      </c>
      <c r="BG136" s="35">
        <f t="shared" si="92"/>
        <v>2592522.8762148037</v>
      </c>
      <c r="BH136" s="361"/>
    </row>
    <row r="137" spans="1:60" s="356" customFormat="1" hidden="1" outlineLevel="2" x14ac:dyDescent="0.25">
      <c r="A137" s="452" t="s">
        <v>537</v>
      </c>
      <c r="B137" s="450"/>
      <c r="C137" s="440"/>
      <c r="D137" s="440"/>
      <c r="E137" s="440"/>
      <c r="F137" s="440"/>
      <c r="G137" s="439"/>
      <c r="H137" s="439"/>
      <c r="I137" s="439"/>
      <c r="J137" s="439"/>
      <c r="K137" s="440"/>
      <c r="L137" s="439"/>
      <c r="M137" s="439"/>
      <c r="N137" s="439"/>
      <c r="O137" s="439"/>
      <c r="P137" s="440"/>
      <c r="Q137" s="439"/>
      <c r="R137" s="439"/>
      <c r="S137" s="439"/>
      <c r="T137" s="439"/>
      <c r="U137" s="440"/>
      <c r="V137" s="439"/>
      <c r="W137" s="439"/>
      <c r="X137" s="439"/>
      <c r="Y137" s="439"/>
      <c r="Z137" s="440"/>
      <c r="AA137" s="439"/>
      <c r="AB137" s="439"/>
      <c r="AC137" s="439"/>
      <c r="AD137" s="439"/>
      <c r="AE137" s="440"/>
      <c r="AF137" s="439"/>
      <c r="AG137" s="439"/>
      <c r="AH137" s="439"/>
      <c r="AI137" s="439"/>
      <c r="AJ137" s="440"/>
      <c r="AK137" s="439"/>
      <c r="AL137" s="439"/>
      <c r="AM137" s="439"/>
      <c r="AN137" s="439"/>
      <c r="AO137" s="440"/>
      <c r="AP137" s="439"/>
      <c r="AQ137" s="439"/>
      <c r="AR137" s="439"/>
      <c r="AS137" s="439"/>
      <c r="AT137" s="440"/>
      <c r="AU137" s="439"/>
      <c r="AV137" s="439"/>
      <c r="AW137" s="726"/>
      <c r="AX137" s="439"/>
      <c r="AY137" s="440"/>
      <c r="AZ137" s="361">
        <f t="shared" ref="AZ137:BG137" si="93">AZ96</f>
        <v>0</v>
      </c>
      <c r="BA137" s="361">
        <f t="shared" si="93"/>
        <v>0</v>
      </c>
      <c r="BB137" s="361">
        <f t="shared" si="93"/>
        <v>0</v>
      </c>
      <c r="BC137" s="361">
        <f t="shared" si="93"/>
        <v>0</v>
      </c>
      <c r="BD137" s="440">
        <f t="shared" si="93"/>
        <v>0</v>
      </c>
      <c r="BE137" s="440">
        <f t="shared" si="93"/>
        <v>20000</v>
      </c>
      <c r="BF137" s="440">
        <f t="shared" si="93"/>
        <v>22000</v>
      </c>
      <c r="BG137" s="440">
        <f t="shared" si="93"/>
        <v>24200.000000000004</v>
      </c>
      <c r="BH137" s="361"/>
    </row>
    <row r="138" spans="1:60" s="116" customFormat="1" hidden="1" outlineLevel="2" x14ac:dyDescent="0.25">
      <c r="A138" s="832" t="s">
        <v>25</v>
      </c>
      <c r="B138" s="529"/>
      <c r="C138" s="45"/>
      <c r="D138" s="45">
        <f t="shared" ref="D138:AI138" si="94">D134+D135+D136+D137</f>
        <v>1500</v>
      </c>
      <c r="E138" s="45">
        <f t="shared" si="94"/>
        <v>650</v>
      </c>
      <c r="F138" s="45">
        <f t="shared" si="94"/>
        <v>3150</v>
      </c>
      <c r="G138" s="44">
        <f t="shared" si="94"/>
        <v>4900</v>
      </c>
      <c r="H138" s="44">
        <f t="shared" si="94"/>
        <v>5150</v>
      </c>
      <c r="I138" s="44">
        <f t="shared" si="94"/>
        <v>5500</v>
      </c>
      <c r="J138" s="44">
        <f t="shared" si="94"/>
        <v>6892</v>
      </c>
      <c r="K138" s="45">
        <f t="shared" si="94"/>
        <v>22442</v>
      </c>
      <c r="L138" s="44">
        <f t="shared" si="94"/>
        <v>6457</v>
      </c>
      <c r="M138" s="44">
        <f t="shared" si="94"/>
        <v>7579</v>
      </c>
      <c r="N138" s="44">
        <f t="shared" si="94"/>
        <v>7785</v>
      </c>
      <c r="O138" s="44">
        <f t="shared" si="94"/>
        <v>9834</v>
      </c>
      <c r="P138" s="45">
        <f t="shared" si="94"/>
        <v>31655</v>
      </c>
      <c r="Q138" s="44">
        <f t="shared" si="94"/>
        <v>10045</v>
      </c>
      <c r="R138" s="44">
        <f t="shared" si="94"/>
        <v>11532</v>
      </c>
      <c r="S138" s="44">
        <f t="shared" si="94"/>
        <v>11603</v>
      </c>
      <c r="T138" s="44">
        <f t="shared" si="94"/>
        <v>17478</v>
      </c>
      <c r="U138" s="45">
        <f t="shared" si="94"/>
        <v>50658</v>
      </c>
      <c r="V138" s="44">
        <f t="shared" si="94"/>
        <v>14820</v>
      </c>
      <c r="W138" s="44">
        <f t="shared" si="94"/>
        <v>14402</v>
      </c>
      <c r="X138" s="44">
        <f t="shared" si="94"/>
        <v>24821</v>
      </c>
      <c r="Y138" s="44">
        <f t="shared" si="94"/>
        <v>22200</v>
      </c>
      <c r="Z138" s="45">
        <f t="shared" si="94"/>
        <v>76243</v>
      </c>
      <c r="AA138" s="44">
        <f t="shared" si="94"/>
        <v>25000</v>
      </c>
      <c r="AB138" s="44">
        <f t="shared" si="94"/>
        <v>22000</v>
      </c>
      <c r="AC138" s="44">
        <f t="shared" si="94"/>
        <v>26137</v>
      </c>
      <c r="AD138" s="44">
        <f t="shared" si="94"/>
        <v>29967</v>
      </c>
      <c r="AE138" s="45">
        <f t="shared" si="94"/>
        <v>103104</v>
      </c>
      <c r="AF138" s="44">
        <f t="shared" si="94"/>
        <v>29997</v>
      </c>
      <c r="AG138" s="44">
        <f t="shared" si="94"/>
        <v>40768</v>
      </c>
      <c r="AH138" s="44">
        <f t="shared" si="94"/>
        <v>83775</v>
      </c>
      <c r="AI138" s="44">
        <f t="shared" si="94"/>
        <v>90966</v>
      </c>
      <c r="AJ138" s="45">
        <f t="shared" ref="AJ138:BG138" si="95">AJ134+AJ135+AJ136+AJ137</f>
        <v>245506</v>
      </c>
      <c r="AK138" s="44">
        <f t="shared" si="95"/>
        <v>63019</v>
      </c>
      <c r="AL138" s="44">
        <f t="shared" si="95"/>
        <v>95356</v>
      </c>
      <c r="AM138" s="44">
        <f t="shared" si="95"/>
        <v>97186</v>
      </c>
      <c r="AN138" s="44">
        <f t="shared" si="95"/>
        <v>112095</v>
      </c>
      <c r="AO138" s="45">
        <f t="shared" si="95"/>
        <v>367656</v>
      </c>
      <c r="AP138" s="44">
        <f t="shared" si="95"/>
        <v>88496</v>
      </c>
      <c r="AQ138" s="44">
        <f t="shared" si="95"/>
        <v>90891</v>
      </c>
      <c r="AR138" s="44">
        <f t="shared" si="95"/>
        <v>139593</v>
      </c>
      <c r="AS138" s="44">
        <f t="shared" si="95"/>
        <v>180667</v>
      </c>
      <c r="AT138" s="45">
        <f t="shared" si="95"/>
        <v>499647</v>
      </c>
      <c r="AU138" s="44">
        <f t="shared" si="95"/>
        <v>184877</v>
      </c>
      <c r="AV138" s="44">
        <f t="shared" si="95"/>
        <v>201304</v>
      </c>
      <c r="AW138" s="729">
        <f t="shared" si="95"/>
        <v>241391</v>
      </c>
      <c r="AX138" s="30">
        <f t="shared" si="95"/>
        <v>308600</v>
      </c>
      <c r="AY138" s="29">
        <f t="shared" si="95"/>
        <v>936172</v>
      </c>
      <c r="AZ138" s="30">
        <f t="shared" si="95"/>
        <v>354302.5</v>
      </c>
      <c r="BA138" s="30">
        <f t="shared" si="95"/>
        <v>407447.87499999994</v>
      </c>
      <c r="BB138" s="30">
        <f t="shared" si="95"/>
        <v>468565.05624999991</v>
      </c>
      <c r="BC138" s="30">
        <f t="shared" si="95"/>
        <v>538849.81468749989</v>
      </c>
      <c r="BD138" s="29">
        <f t="shared" si="95"/>
        <v>1769165.2459374997</v>
      </c>
      <c r="BE138" s="29">
        <f t="shared" si="95"/>
        <v>2051313.0642343746</v>
      </c>
      <c r="BF138" s="29">
        <f t="shared" si="95"/>
        <v>2354460.3584164055</v>
      </c>
      <c r="BG138" s="29">
        <f t="shared" si="95"/>
        <v>2702624.7801804286</v>
      </c>
      <c r="BH138" s="368"/>
    </row>
    <row r="139" spans="1:60" s="120" customFormat="1" hidden="1" outlineLevel="2" x14ac:dyDescent="0.25">
      <c r="A139" s="216"/>
      <c r="B139" s="215"/>
      <c r="C139" s="100"/>
      <c r="D139" s="100"/>
      <c r="E139" s="100"/>
      <c r="F139" s="100"/>
      <c r="G139" s="1005"/>
      <c r="H139" s="1005"/>
      <c r="I139" s="1005"/>
      <c r="J139" s="1005"/>
      <c r="K139" s="100"/>
      <c r="L139" s="1005"/>
      <c r="M139" s="1005"/>
      <c r="N139" s="1005"/>
      <c r="O139" s="1005"/>
      <c r="P139" s="100"/>
      <c r="Q139" s="1005"/>
      <c r="R139" s="1005"/>
      <c r="S139" s="1005"/>
      <c r="T139" s="1005"/>
      <c r="U139" s="100"/>
      <c r="V139" s="1005"/>
      <c r="W139" s="1005"/>
      <c r="X139" s="1005"/>
      <c r="Y139" s="1005"/>
      <c r="Z139" s="100"/>
      <c r="AA139" s="1005"/>
      <c r="AB139" s="1005"/>
      <c r="AC139" s="1005"/>
      <c r="AD139" s="1005"/>
      <c r="AE139" s="100"/>
      <c r="AF139" s="1005"/>
      <c r="AG139" s="1005"/>
      <c r="AH139" s="1005"/>
      <c r="AI139" s="1005"/>
      <c r="AJ139" s="100"/>
      <c r="AK139" s="1005"/>
      <c r="AL139" s="1005"/>
      <c r="AM139" s="1005"/>
      <c r="AN139" s="1005"/>
      <c r="AO139" s="100"/>
      <c r="AP139" s="1005"/>
      <c r="AQ139" s="1005"/>
      <c r="AR139" s="1005"/>
      <c r="AS139" s="1005"/>
      <c r="AT139" s="100"/>
      <c r="AU139" s="1005"/>
      <c r="AV139" s="1005"/>
      <c r="AW139" s="727"/>
      <c r="AX139" s="1005"/>
      <c r="AY139" s="100"/>
      <c r="AZ139" s="1005"/>
      <c r="BA139" s="1005"/>
      <c r="BB139" s="1005"/>
      <c r="BC139" s="1005"/>
      <c r="BD139" s="100"/>
      <c r="BE139" s="100"/>
      <c r="BF139" s="100"/>
      <c r="BG139" s="100"/>
      <c r="BH139" s="366"/>
    </row>
    <row r="140" spans="1:60" s="356" customFormat="1" hidden="1" outlineLevel="1" collapsed="1" x14ac:dyDescent="0.25">
      <c r="A140" s="360" t="s">
        <v>517</v>
      </c>
      <c r="B140" s="577"/>
      <c r="C140" s="440"/>
      <c r="D140" s="440"/>
      <c r="E140" s="440"/>
      <c r="F140" s="440"/>
      <c r="G140" s="439"/>
      <c r="H140" s="439"/>
      <c r="I140" s="439"/>
      <c r="J140" s="439"/>
      <c r="K140" s="440"/>
      <c r="L140" s="439"/>
      <c r="M140" s="439"/>
      <c r="N140" s="439"/>
      <c r="O140" s="439"/>
      <c r="P140" s="440"/>
      <c r="Q140" s="439"/>
      <c r="R140" s="439"/>
      <c r="S140" s="439"/>
      <c r="T140" s="439"/>
      <c r="U140" s="440"/>
      <c r="V140" s="439"/>
      <c r="W140" s="439"/>
      <c r="X140" s="439"/>
      <c r="Y140" s="439"/>
      <c r="Z140" s="440"/>
      <c r="AA140" s="439"/>
      <c r="AB140" s="439"/>
      <c r="AC140" s="439"/>
      <c r="AD140" s="439"/>
      <c r="AE140" s="440"/>
      <c r="AF140" s="361">
        <f>AF146*AF99</f>
        <v>2399.7600000000002</v>
      </c>
      <c r="AG140" s="36">
        <v>2354</v>
      </c>
      <c r="AH140" s="36">
        <v>2560</v>
      </c>
      <c r="AI140" s="361">
        <v>3639</v>
      </c>
      <c r="AJ140" s="35">
        <f>SUM(AF140,AG140,AH140,AI140)</f>
        <v>10952.76</v>
      </c>
      <c r="AK140" s="361">
        <v>1363</v>
      </c>
      <c r="AL140" s="36">
        <v>1820</v>
      </c>
      <c r="AM140" s="36">
        <v>2588</v>
      </c>
      <c r="AN140" s="361">
        <v>2807</v>
      </c>
      <c r="AO140" s="35">
        <f>SUM(AK140,AL140,AM140,AN140)</f>
        <v>8578</v>
      </c>
      <c r="AP140" s="361">
        <v>1940</v>
      </c>
      <c r="AQ140" s="36">
        <f>ROUND(AQ144*AQ135,0)</f>
        <v>1486</v>
      </c>
      <c r="AR140" s="36">
        <f>ROUND(AR144*AR135,0)</f>
        <v>1986</v>
      </c>
      <c r="AS140" s="361">
        <f>ROUND(AS144*AS135,0)</f>
        <v>2086</v>
      </c>
      <c r="AT140" s="35">
        <f>SUM(AP140,AQ140,AR140,AS140)</f>
        <v>7498</v>
      </c>
      <c r="AU140" s="439">
        <f>ROUND(AU144*AU135,0)</f>
        <v>122</v>
      </c>
      <c r="AV140" s="439">
        <f>ROUND(AV144*AV135,0)</f>
        <v>341</v>
      </c>
      <c r="AW140" s="792">
        <f>ROUND(AW144*AW135,0)</f>
        <v>1858</v>
      </c>
      <c r="AX140" s="439">
        <f>ROUND(AX144*AX135,0)</f>
        <v>1880</v>
      </c>
      <c r="AY140" s="440">
        <f>SUM(AU140,AV140,AW140,AX140)</f>
        <v>4201</v>
      </c>
      <c r="AZ140" s="439">
        <f t="shared" ref="AZ140:BC141" si="96">ROUND(AZ144*AZ135,0)</f>
        <v>2068</v>
      </c>
      <c r="BA140" s="439">
        <f t="shared" si="96"/>
        <v>2378</v>
      </c>
      <c r="BB140" s="439">
        <f t="shared" si="96"/>
        <v>2735</v>
      </c>
      <c r="BC140" s="439">
        <f t="shared" si="96"/>
        <v>3145</v>
      </c>
      <c r="BD140" s="440">
        <f>SUM(AZ140,BA140,BB140,BC140)</f>
        <v>10326</v>
      </c>
      <c r="BE140" s="440">
        <f t="shared" ref="BE140:BG141" si="97">ROUND(BE144*BE135,0)</f>
        <v>12069</v>
      </c>
      <c r="BF140" s="440">
        <f t="shared" si="97"/>
        <v>13276</v>
      </c>
      <c r="BG140" s="440">
        <f t="shared" si="97"/>
        <v>14603</v>
      </c>
      <c r="BH140" s="361"/>
    </row>
    <row r="141" spans="1:60" s="356" customFormat="1" hidden="1" outlineLevel="1" x14ac:dyDescent="0.25">
      <c r="A141" s="360" t="s">
        <v>518</v>
      </c>
      <c r="B141" s="577"/>
      <c r="C141" s="440"/>
      <c r="D141" s="440"/>
      <c r="E141" s="440"/>
      <c r="F141" s="440"/>
      <c r="G141" s="439"/>
      <c r="H141" s="439"/>
      <c r="I141" s="439"/>
      <c r="J141" s="439"/>
      <c r="K141" s="440"/>
      <c r="L141" s="439"/>
      <c r="M141" s="439"/>
      <c r="N141" s="439"/>
      <c r="O141" s="439"/>
      <c r="P141" s="440"/>
      <c r="Q141" s="439"/>
      <c r="R141" s="439"/>
      <c r="S141" s="439"/>
      <c r="T141" s="439"/>
      <c r="U141" s="440"/>
      <c r="V141" s="439"/>
      <c r="W141" s="439"/>
      <c r="X141" s="439"/>
      <c r="Y141" s="439"/>
      <c r="Z141" s="440"/>
      <c r="AA141" s="439"/>
      <c r="AB141" s="439"/>
      <c r="AC141" s="439"/>
      <c r="AD141" s="439"/>
      <c r="AE141" s="440"/>
      <c r="AF141" s="439"/>
      <c r="AG141" s="439"/>
      <c r="AH141" s="439"/>
      <c r="AI141" s="439"/>
      <c r="AJ141" s="440"/>
      <c r="AK141" s="439"/>
      <c r="AL141" s="36">
        <v>4322</v>
      </c>
      <c r="AM141" s="36">
        <v>6498</v>
      </c>
      <c r="AN141" s="361">
        <v>6041</v>
      </c>
      <c r="AO141" s="35">
        <f>SUM(AK141,AL141,AM141,AN141)</f>
        <v>16861</v>
      </c>
      <c r="AP141" s="361">
        <v>4164</v>
      </c>
      <c r="AQ141" s="36">
        <f>AQ142-AQ140</f>
        <v>3230</v>
      </c>
      <c r="AR141" s="36">
        <f>AR142-AR140</f>
        <v>8028</v>
      </c>
      <c r="AS141" s="361">
        <f>AS142-AS140</f>
        <v>11550</v>
      </c>
      <c r="AT141" s="35">
        <f>SUM(AP141,AQ141,AR141,AS141)</f>
        <v>26972</v>
      </c>
      <c r="AU141" s="439">
        <f>AU142-AU140</f>
        <v>13480</v>
      </c>
      <c r="AV141" s="439">
        <f>AV142-AV140</f>
        <v>14151</v>
      </c>
      <c r="AW141" s="792">
        <f>AW142-AW140</f>
        <v>14800</v>
      </c>
      <c r="AX141" s="439">
        <f>ROUND(AX145*AX136,0)</f>
        <v>21373</v>
      </c>
      <c r="AY141" s="440">
        <f>SUM(AU141,AV141,AW141,AX141)</f>
        <v>63804</v>
      </c>
      <c r="AZ141" s="439">
        <f t="shared" si="96"/>
        <v>24579</v>
      </c>
      <c r="BA141" s="439">
        <f t="shared" si="96"/>
        <v>28266</v>
      </c>
      <c r="BB141" s="439">
        <f t="shared" si="96"/>
        <v>32506</v>
      </c>
      <c r="BC141" s="439">
        <f t="shared" si="96"/>
        <v>37382</v>
      </c>
      <c r="BD141" s="440">
        <f>SUM(AZ141,BA141,BB141,BC141)</f>
        <v>122733</v>
      </c>
      <c r="BE141" s="440">
        <f t="shared" si="97"/>
        <v>141143</v>
      </c>
      <c r="BF141" s="440">
        <f t="shared" si="97"/>
        <v>162314</v>
      </c>
      <c r="BG141" s="440">
        <f t="shared" si="97"/>
        <v>186662</v>
      </c>
      <c r="BH141" s="361"/>
    </row>
    <row r="142" spans="1:60" s="116" customFormat="1" hidden="1" outlineLevel="1" x14ac:dyDescent="0.25">
      <c r="A142" s="86" t="s">
        <v>603</v>
      </c>
      <c r="B142" s="636"/>
      <c r="C142" s="45"/>
      <c r="D142" s="45"/>
      <c r="E142" s="45"/>
      <c r="F142" s="45"/>
      <c r="G142" s="44"/>
      <c r="H142" s="44"/>
      <c r="I142" s="44"/>
      <c r="J142" s="44"/>
      <c r="K142" s="45"/>
      <c r="L142" s="44"/>
      <c r="M142" s="44"/>
      <c r="N142" s="44"/>
      <c r="O142" s="44"/>
      <c r="P142" s="45"/>
      <c r="Q142" s="44"/>
      <c r="R142" s="44"/>
      <c r="S142" s="44"/>
      <c r="T142" s="44"/>
      <c r="U142" s="45"/>
      <c r="V142" s="44"/>
      <c r="W142" s="44"/>
      <c r="X142" s="44"/>
      <c r="Y142" s="44"/>
      <c r="Z142" s="45"/>
      <c r="AA142" s="44"/>
      <c r="AB142" s="44"/>
      <c r="AC142" s="44"/>
      <c r="AD142" s="44"/>
      <c r="AE142" s="45"/>
      <c r="AF142" s="30">
        <f t="shared" ref="AF142:AP142" si="98">SUM(AF140:AF141)</f>
        <v>2399.7600000000002</v>
      </c>
      <c r="AG142" s="30">
        <f t="shared" si="98"/>
        <v>2354</v>
      </c>
      <c r="AH142" s="30">
        <f t="shared" si="98"/>
        <v>2560</v>
      </c>
      <c r="AI142" s="30">
        <f t="shared" si="98"/>
        <v>3639</v>
      </c>
      <c r="AJ142" s="29">
        <f t="shared" si="98"/>
        <v>10952.76</v>
      </c>
      <c r="AK142" s="30">
        <f t="shared" si="98"/>
        <v>1363</v>
      </c>
      <c r="AL142" s="31">
        <f t="shared" si="98"/>
        <v>6142</v>
      </c>
      <c r="AM142" s="31">
        <f t="shared" si="98"/>
        <v>9086</v>
      </c>
      <c r="AN142" s="30">
        <f t="shared" si="98"/>
        <v>8848</v>
      </c>
      <c r="AO142" s="29">
        <f t="shared" si="98"/>
        <v>25439</v>
      </c>
      <c r="AP142" s="30">
        <f t="shared" si="98"/>
        <v>6104</v>
      </c>
      <c r="AQ142" s="31">
        <v>4716</v>
      </c>
      <c r="AR142" s="31">
        <v>10014</v>
      </c>
      <c r="AS142" s="30">
        <v>13636</v>
      </c>
      <c r="AT142" s="29">
        <f>+SUM(AP142,AQ142,AR142,AS142)</f>
        <v>34470</v>
      </c>
      <c r="AU142" s="30">
        <v>13602</v>
      </c>
      <c r="AV142" s="31">
        <v>14492</v>
      </c>
      <c r="AW142" s="795">
        <v>16658</v>
      </c>
      <c r="AX142" s="44">
        <f t="shared" ref="AX142:BG142" si="99">SUM(AX140:AX141)</f>
        <v>23253</v>
      </c>
      <c r="AY142" s="45">
        <f t="shared" si="99"/>
        <v>68005</v>
      </c>
      <c r="AZ142" s="44">
        <f t="shared" si="99"/>
        <v>26647</v>
      </c>
      <c r="BA142" s="44">
        <f t="shared" si="99"/>
        <v>30644</v>
      </c>
      <c r="BB142" s="44">
        <f t="shared" si="99"/>
        <v>35241</v>
      </c>
      <c r="BC142" s="44">
        <f t="shared" si="99"/>
        <v>40527</v>
      </c>
      <c r="BD142" s="45">
        <f t="shared" si="99"/>
        <v>133059</v>
      </c>
      <c r="BE142" s="45">
        <f t="shared" si="99"/>
        <v>153212</v>
      </c>
      <c r="BF142" s="45">
        <f t="shared" si="99"/>
        <v>175590</v>
      </c>
      <c r="BG142" s="45">
        <f t="shared" si="99"/>
        <v>201265</v>
      </c>
      <c r="BH142" s="368"/>
    </row>
    <row r="143" spans="1:60" s="116" customFormat="1" hidden="1" outlineLevel="1" x14ac:dyDescent="0.25">
      <c r="A143" s="530"/>
      <c r="B143" s="637"/>
      <c r="C143" s="438"/>
      <c r="D143" s="438"/>
      <c r="E143" s="438"/>
      <c r="F143" s="438"/>
      <c r="G143" s="437"/>
      <c r="H143" s="437"/>
      <c r="I143" s="437"/>
      <c r="J143" s="437"/>
      <c r="K143" s="438"/>
      <c r="L143" s="437"/>
      <c r="M143" s="437"/>
      <c r="N143" s="437"/>
      <c r="O143" s="437"/>
      <c r="P143" s="438"/>
      <c r="Q143" s="437"/>
      <c r="R143" s="437"/>
      <c r="S143" s="437"/>
      <c r="T143" s="437"/>
      <c r="U143" s="438"/>
      <c r="V143" s="437"/>
      <c r="W143" s="437"/>
      <c r="X143" s="437"/>
      <c r="Y143" s="437"/>
      <c r="Z143" s="438"/>
      <c r="AA143" s="437"/>
      <c r="AB143" s="437"/>
      <c r="AC143" s="437"/>
      <c r="AD143" s="437"/>
      <c r="AE143" s="438"/>
      <c r="AF143" s="437"/>
      <c r="AG143" s="437"/>
      <c r="AH143" s="437"/>
      <c r="AI143" s="437"/>
      <c r="AJ143" s="438"/>
      <c r="AK143" s="437"/>
      <c r="AL143" s="437"/>
      <c r="AM143" s="437"/>
      <c r="AN143" s="437"/>
      <c r="AO143" s="438"/>
      <c r="AP143" s="437"/>
      <c r="AQ143" s="437"/>
      <c r="AR143" s="437"/>
      <c r="AS143" s="437"/>
      <c r="AT143" s="438"/>
      <c r="AU143" s="437"/>
      <c r="AV143" s="437"/>
      <c r="AW143" s="725"/>
      <c r="AX143" s="437"/>
      <c r="AY143" s="438"/>
      <c r="AZ143" s="437"/>
      <c r="BA143" s="437"/>
      <c r="BB143" s="437"/>
      <c r="BC143" s="437"/>
      <c r="BD143" s="438"/>
      <c r="BE143" s="438"/>
      <c r="BF143" s="438"/>
      <c r="BG143" s="438"/>
      <c r="BH143" s="368"/>
    </row>
    <row r="144" spans="1:60" s="120" customFormat="1" hidden="1" outlineLevel="1" x14ac:dyDescent="0.25">
      <c r="A144" s="222" t="s">
        <v>532</v>
      </c>
      <c r="B144" s="639"/>
      <c r="C144" s="100"/>
      <c r="D144" s="100"/>
      <c r="E144" s="100"/>
      <c r="F144" s="100"/>
      <c r="G144" s="1005"/>
      <c r="H144" s="1005"/>
      <c r="I144" s="1005"/>
      <c r="J144" s="1005"/>
      <c r="K144" s="100"/>
      <c r="L144" s="1005"/>
      <c r="M144" s="1005"/>
      <c r="N144" s="1005"/>
      <c r="O144" s="1005"/>
      <c r="P144" s="100"/>
      <c r="Q144" s="1005"/>
      <c r="R144" s="1005"/>
      <c r="S144" s="1005"/>
      <c r="T144" s="1005"/>
      <c r="U144" s="100"/>
      <c r="V144" s="1005"/>
      <c r="W144" s="1005"/>
      <c r="X144" s="1005"/>
      <c r="Y144" s="1005"/>
      <c r="Z144" s="100"/>
      <c r="AA144" s="1005"/>
      <c r="AB144" s="1005"/>
      <c r="AC144" s="1005"/>
      <c r="AD144" s="1005"/>
      <c r="AE144" s="100"/>
      <c r="AF144" s="1005">
        <f t="shared" ref="AF144:AP144" si="100">AF140/AF135</f>
        <v>0.11000504240201697</v>
      </c>
      <c r="AG144" s="1005">
        <f t="shared" si="100"/>
        <v>0.10547067520946279</v>
      </c>
      <c r="AH144" s="1005">
        <f t="shared" si="100"/>
        <v>9.238542042583904E-2</v>
      </c>
      <c r="AI144" s="1005">
        <f t="shared" si="100"/>
        <v>0.13181439489984426</v>
      </c>
      <c r="AJ144" s="100">
        <f t="shared" si="100"/>
        <v>0.11013222592030246</v>
      </c>
      <c r="AK144" s="1005">
        <f t="shared" si="100"/>
        <v>0.11272847572574643</v>
      </c>
      <c r="AL144" s="1005">
        <f t="shared" si="100"/>
        <v>0.10269721250423203</v>
      </c>
      <c r="AM144" s="1005">
        <f t="shared" si="100"/>
        <v>0.14802951438540296</v>
      </c>
      <c r="AN144" s="1005">
        <f t="shared" si="100"/>
        <v>0.14413350449293966</v>
      </c>
      <c r="AO144" s="100">
        <f t="shared" si="100"/>
        <v>0.1284689460993545</v>
      </c>
      <c r="AP144" s="1005">
        <f t="shared" si="100"/>
        <v>0.15862632869991825</v>
      </c>
      <c r="AQ144" s="1005">
        <v>0.14000000000000001</v>
      </c>
      <c r="AR144" s="1005">
        <v>0.13</v>
      </c>
      <c r="AS144" s="1005">
        <v>0.11</v>
      </c>
      <c r="AT144" s="100">
        <f>AT140/AT90</f>
        <v>0.13134798983971271</v>
      </c>
      <c r="AU144" s="1005">
        <v>0.06</v>
      </c>
      <c r="AV144" s="1005">
        <v>0.18</v>
      </c>
      <c r="AW144" s="727">
        <v>0.2</v>
      </c>
      <c r="AX144" s="99">
        <v>0.16</v>
      </c>
      <c r="AY144" s="100">
        <f>AY140/AY135</f>
        <v>0.16828232655023234</v>
      </c>
      <c r="AZ144" s="99">
        <v>0.16</v>
      </c>
      <c r="BA144" s="99">
        <v>0.16</v>
      </c>
      <c r="BB144" s="99">
        <v>0.16</v>
      </c>
      <c r="BC144" s="99">
        <v>0.16</v>
      </c>
      <c r="BD144" s="100">
        <f>BD140/BD135</f>
        <v>0.15999535942183354</v>
      </c>
      <c r="BE144" s="1011">
        <v>0.17</v>
      </c>
      <c r="BF144" s="1011">
        <v>0.17</v>
      </c>
      <c r="BG144" s="1011">
        <v>0.17</v>
      </c>
      <c r="BH144" s="366"/>
    </row>
    <row r="145" spans="1:60" s="120" customFormat="1" hidden="1" outlineLevel="1" x14ac:dyDescent="0.25">
      <c r="A145" s="222" t="s">
        <v>533</v>
      </c>
      <c r="B145" s="639"/>
      <c r="C145" s="100"/>
      <c r="D145" s="100"/>
      <c r="E145" s="100"/>
      <c r="F145" s="100"/>
      <c r="G145" s="1005"/>
      <c r="H145" s="1005"/>
      <c r="I145" s="1005"/>
      <c r="J145" s="1005"/>
      <c r="K145" s="100"/>
      <c r="L145" s="1005"/>
      <c r="M145" s="1005"/>
      <c r="N145" s="1005"/>
      <c r="O145" s="1005"/>
      <c r="P145" s="100"/>
      <c r="Q145" s="1005"/>
      <c r="R145" s="1005"/>
      <c r="S145" s="1005"/>
      <c r="T145" s="1005"/>
      <c r="U145" s="100"/>
      <c r="V145" s="1005"/>
      <c r="W145" s="1005"/>
      <c r="X145" s="1005"/>
      <c r="Y145" s="1005"/>
      <c r="Z145" s="100"/>
      <c r="AA145" s="1005"/>
      <c r="AB145" s="1005"/>
      <c r="AC145" s="1005"/>
      <c r="AD145" s="1005"/>
      <c r="AE145" s="100"/>
      <c r="AF145" s="1005"/>
      <c r="AG145" s="1005"/>
      <c r="AH145" s="1005"/>
      <c r="AI145" s="1005"/>
      <c r="AJ145" s="100"/>
      <c r="AK145" s="1005"/>
      <c r="AL145" s="1005">
        <f t="shared" ref="AL145:AW145" si="101">AL141/AL136</f>
        <v>5.5671484143545356E-2</v>
      </c>
      <c r="AM145" s="1005">
        <f t="shared" si="101"/>
        <v>8.1527671480370878E-2</v>
      </c>
      <c r="AN145" s="1005">
        <f t="shared" si="101"/>
        <v>6.5223493845821642E-2</v>
      </c>
      <c r="AO145" s="100">
        <f t="shared" si="101"/>
        <v>5.6038021170879242E-2</v>
      </c>
      <c r="AP145" s="1005">
        <f t="shared" si="101"/>
        <v>5.4598379356462903E-2</v>
      </c>
      <c r="AQ145" s="1005">
        <f t="shared" si="101"/>
        <v>4.0235683944342716E-2</v>
      </c>
      <c r="AR145" s="1005">
        <f t="shared" si="101"/>
        <v>6.4576328448012352E-2</v>
      </c>
      <c r="AS145" s="1005">
        <f t="shared" si="101"/>
        <v>7.1428129696167617E-2</v>
      </c>
      <c r="AT145" s="100">
        <f t="shared" si="101"/>
        <v>6.0945133111292883E-2</v>
      </c>
      <c r="AU145" s="1005">
        <f t="shared" si="101"/>
        <v>7.3722839313743183E-2</v>
      </c>
      <c r="AV145" s="1005">
        <f t="shared" si="101"/>
        <v>7.0964700690540547E-2</v>
      </c>
      <c r="AW145" s="727">
        <f t="shared" si="101"/>
        <v>6.3765068805956004E-2</v>
      </c>
      <c r="AX145" s="99">
        <v>7.1999999999999995E-2</v>
      </c>
      <c r="AY145" s="100">
        <f>AY141/AY136</f>
        <v>7.0021334316643397E-2</v>
      </c>
      <c r="AZ145" s="99">
        <v>7.1999999999999995E-2</v>
      </c>
      <c r="BA145" s="99">
        <v>7.1999999999999995E-2</v>
      </c>
      <c r="BB145" s="99">
        <v>7.1999999999999995E-2</v>
      </c>
      <c r="BC145" s="99">
        <v>7.1999999999999995E-2</v>
      </c>
      <c r="BD145" s="100">
        <f>BD141/BD136</f>
        <v>7.1999963081341808E-2</v>
      </c>
      <c r="BE145" s="1011">
        <v>7.1999999999999995E-2</v>
      </c>
      <c r="BF145" s="1011">
        <v>7.1999999999999995E-2</v>
      </c>
      <c r="BG145" s="1011">
        <v>7.1999999999999995E-2</v>
      </c>
      <c r="BH145" s="366"/>
    </row>
    <row r="146" spans="1:60" s="114" customFormat="1" hidden="1" outlineLevel="1" x14ac:dyDescent="0.25">
      <c r="A146" s="38" t="s">
        <v>803</v>
      </c>
      <c r="B146" s="640"/>
      <c r="C146" s="569"/>
      <c r="D146" s="569"/>
      <c r="E146" s="569"/>
      <c r="F146" s="569"/>
      <c r="G146" s="568"/>
      <c r="H146" s="568"/>
      <c r="I146" s="568"/>
      <c r="J146" s="568"/>
      <c r="K146" s="569"/>
      <c r="L146" s="568"/>
      <c r="M146" s="568"/>
      <c r="N146" s="568"/>
      <c r="O146" s="568"/>
      <c r="P146" s="569"/>
      <c r="Q146" s="568"/>
      <c r="R146" s="568"/>
      <c r="S146" s="568"/>
      <c r="T146" s="568"/>
      <c r="U146" s="569"/>
      <c r="V146" s="568"/>
      <c r="W146" s="568"/>
      <c r="X146" s="568"/>
      <c r="Y146" s="568"/>
      <c r="Z146" s="569"/>
      <c r="AA146" s="568"/>
      <c r="AB146" s="568"/>
      <c r="AC146" s="568"/>
      <c r="AD146" s="568"/>
      <c r="AE146" s="569"/>
      <c r="AF146" s="566">
        <v>0.08</v>
      </c>
      <c r="AG146" s="567">
        <f t="shared" ref="AG146:BG146" si="102">AG142/AG138</f>
        <v>5.7741365777080063E-2</v>
      </c>
      <c r="AH146" s="567">
        <f t="shared" si="102"/>
        <v>3.0558042375410325E-2</v>
      </c>
      <c r="AI146" s="566">
        <f t="shared" si="102"/>
        <v>4.0003957522590859E-2</v>
      </c>
      <c r="AJ146" s="565">
        <f t="shared" si="102"/>
        <v>4.4613003348187012E-2</v>
      </c>
      <c r="AK146" s="566">
        <f t="shared" si="102"/>
        <v>2.1628397784795063E-2</v>
      </c>
      <c r="AL146" s="567">
        <f t="shared" si="102"/>
        <v>6.441125886152943E-2</v>
      </c>
      <c r="AM146" s="567">
        <f t="shared" si="102"/>
        <v>9.3490832012841349E-2</v>
      </c>
      <c r="AN146" s="566">
        <f t="shared" si="102"/>
        <v>7.8933047861189168E-2</v>
      </c>
      <c r="AO146" s="565">
        <f t="shared" si="102"/>
        <v>6.9192397240899095E-2</v>
      </c>
      <c r="AP146" s="566">
        <f t="shared" si="102"/>
        <v>6.8974868920629179E-2</v>
      </c>
      <c r="AQ146" s="567">
        <f t="shared" si="102"/>
        <v>5.1886325378750368E-2</v>
      </c>
      <c r="AR146" s="567">
        <f t="shared" si="102"/>
        <v>7.173712148889988E-2</v>
      </c>
      <c r="AS146" s="566">
        <f t="shared" si="102"/>
        <v>7.5475875505764747E-2</v>
      </c>
      <c r="AT146" s="565">
        <f t="shared" si="102"/>
        <v>6.8988706026454683E-2</v>
      </c>
      <c r="AU146" s="566">
        <f t="shared" si="102"/>
        <v>7.3573240586984862E-2</v>
      </c>
      <c r="AV146" s="567">
        <f t="shared" si="102"/>
        <v>7.1990621150101339E-2</v>
      </c>
      <c r="AW146" s="797">
        <f t="shared" si="102"/>
        <v>6.9008372308826754E-2</v>
      </c>
      <c r="AX146" s="568">
        <f t="shared" si="102"/>
        <v>7.5349967595592995E-2</v>
      </c>
      <c r="AY146" s="569">
        <f t="shared" si="102"/>
        <v>7.2641565866101529E-2</v>
      </c>
      <c r="AZ146" s="568">
        <f t="shared" si="102"/>
        <v>7.5209743086769074E-2</v>
      </c>
      <c r="BA146" s="568">
        <f t="shared" si="102"/>
        <v>7.520962037168559E-2</v>
      </c>
      <c r="BB146" s="568">
        <f t="shared" si="102"/>
        <v>7.5210474041831635E-2</v>
      </c>
      <c r="BC146" s="568">
        <f t="shared" si="102"/>
        <v>7.5210195671131838E-2</v>
      </c>
      <c r="BD146" s="569">
        <f t="shared" si="102"/>
        <v>7.521004626647558E-2</v>
      </c>
      <c r="BE146" s="569">
        <f t="shared" si="102"/>
        <v>7.4689720779984578E-2</v>
      </c>
      <c r="BF146" s="569">
        <f t="shared" si="102"/>
        <v>7.4577598799794906E-2</v>
      </c>
      <c r="BG146" s="569">
        <f t="shared" si="102"/>
        <v>7.4470197075068426E-2</v>
      </c>
      <c r="BH146" s="365"/>
    </row>
    <row r="147" spans="1:60" s="114" customFormat="1" hidden="1" outlineLevel="1" x14ac:dyDescent="0.25">
      <c r="A147" s="635"/>
      <c r="B147" s="642"/>
      <c r="C147" s="252"/>
      <c r="D147" s="252"/>
      <c r="E147" s="252"/>
      <c r="F147" s="252"/>
      <c r="G147" s="370"/>
      <c r="H147" s="370"/>
      <c r="I147" s="370"/>
      <c r="J147" s="370"/>
      <c r="K147" s="252"/>
      <c r="L147" s="370"/>
      <c r="M147" s="370"/>
      <c r="N147" s="370"/>
      <c r="O147" s="370"/>
      <c r="P147" s="252"/>
      <c r="Q147" s="370"/>
      <c r="R147" s="370"/>
      <c r="S147" s="370"/>
      <c r="T147" s="370"/>
      <c r="U147" s="252"/>
      <c r="V147" s="370"/>
      <c r="W147" s="370"/>
      <c r="X147" s="370"/>
      <c r="Y147" s="370"/>
      <c r="Z147" s="252"/>
      <c r="AA147" s="370"/>
      <c r="AB147" s="370"/>
      <c r="AC147" s="370"/>
      <c r="AD147" s="370"/>
      <c r="AE147" s="252"/>
      <c r="AF147" s="370"/>
      <c r="AG147" s="370"/>
      <c r="AH147" s="370"/>
      <c r="AI147" s="370"/>
      <c r="AJ147" s="252"/>
      <c r="AK147" s="370"/>
      <c r="AL147" s="370"/>
      <c r="AM147" s="370"/>
      <c r="AN147" s="370"/>
      <c r="AO147" s="252"/>
      <c r="AP147" s="370"/>
      <c r="AQ147" s="370"/>
      <c r="AR147" s="370"/>
      <c r="AS147" s="370"/>
      <c r="AT147" s="252"/>
      <c r="AU147" s="370"/>
      <c r="AV147" s="370"/>
      <c r="AW147" s="728"/>
      <c r="AX147" s="370"/>
      <c r="AY147" s="252"/>
      <c r="AZ147" s="370"/>
      <c r="BA147" s="370"/>
      <c r="BB147" s="370"/>
      <c r="BC147" s="370"/>
      <c r="BD147" s="252"/>
      <c r="BE147" s="252"/>
      <c r="BF147" s="252"/>
      <c r="BG147" s="252"/>
      <c r="BH147" s="365"/>
    </row>
    <row r="148" spans="1:60" s="116" customFormat="1" hidden="1" outlineLevel="1" x14ac:dyDescent="0.25">
      <c r="A148" s="530" t="s">
        <v>626</v>
      </c>
      <c r="B148" s="637"/>
      <c r="C148" s="438"/>
      <c r="D148" s="438"/>
      <c r="E148" s="438"/>
      <c r="F148" s="438"/>
      <c r="G148" s="437"/>
      <c r="H148" s="437"/>
      <c r="I148" s="437"/>
      <c r="J148" s="437"/>
      <c r="K148" s="438"/>
      <c r="L148" s="437"/>
      <c r="M148" s="437"/>
      <c r="N148" s="437"/>
      <c r="O148" s="437"/>
      <c r="P148" s="438"/>
      <c r="Q148" s="437"/>
      <c r="R148" s="437"/>
      <c r="S148" s="437"/>
      <c r="T148" s="437"/>
      <c r="U148" s="438"/>
      <c r="V148" s="437"/>
      <c r="W148" s="437"/>
      <c r="X148" s="437"/>
      <c r="Y148" s="437"/>
      <c r="Z148" s="438"/>
      <c r="AA148" s="437"/>
      <c r="AB148" s="437"/>
      <c r="AC148" s="437"/>
      <c r="AD148" s="437"/>
      <c r="AE148" s="438"/>
      <c r="AF148" s="437"/>
      <c r="AG148" s="437"/>
      <c r="AH148" s="437"/>
      <c r="AI148" s="437"/>
      <c r="AJ148" s="438"/>
      <c r="AK148" s="437"/>
      <c r="AL148" s="437"/>
      <c r="AM148" s="437">
        <f>AL151</f>
        <v>38828</v>
      </c>
      <c r="AN148" s="437">
        <f>AM151</f>
        <v>44241</v>
      </c>
      <c r="AO148" s="438"/>
      <c r="AP148" s="437">
        <f>AO151</f>
        <v>49901</v>
      </c>
      <c r="AQ148" s="437">
        <f>AP151</f>
        <v>53159</v>
      </c>
      <c r="AR148" s="437">
        <f>AQ151</f>
        <v>54519</v>
      </c>
      <c r="AS148" s="437">
        <f>AR151</f>
        <v>61638</v>
      </c>
      <c r="AT148" s="438">
        <f>AO151</f>
        <v>49901</v>
      </c>
      <c r="AU148" s="437">
        <f>AT151</f>
        <v>72089</v>
      </c>
      <c r="AV148" s="437">
        <f>AU151</f>
        <v>83032</v>
      </c>
      <c r="AW148" s="725">
        <f>AV151</f>
        <v>95491</v>
      </c>
      <c r="AX148" s="437">
        <f>AW151</f>
        <v>108757</v>
      </c>
      <c r="AY148" s="438">
        <f>AT151</f>
        <v>72089</v>
      </c>
      <c r="AZ148" s="437">
        <f>AY151</f>
        <v>129679.91852054794</v>
      </c>
      <c r="BA148" s="437">
        <f>AZ151</f>
        <v>153640.94541365659</v>
      </c>
      <c r="BB148" s="437">
        <f>BA151</f>
        <v>181258.85019015308</v>
      </c>
      <c r="BC148" s="437">
        <f>BB151</f>
        <v>213256.06167113368</v>
      </c>
      <c r="BD148" s="438">
        <f>AY151</f>
        <v>129679.91852054794</v>
      </c>
      <c r="BE148" s="438">
        <f>BD151</f>
        <v>250289.16783882305</v>
      </c>
      <c r="BF148" s="438">
        <f>BE151</f>
        <v>388483.81776849367</v>
      </c>
      <c r="BG148" s="438">
        <f>BF151</f>
        <v>544649.62688006903</v>
      </c>
      <c r="BH148" s="368"/>
    </row>
    <row r="149" spans="1:60" s="356" customFormat="1" hidden="1" outlineLevel="1" x14ac:dyDescent="0.25">
      <c r="A149" s="526" t="s">
        <v>628</v>
      </c>
      <c r="B149" s="577"/>
      <c r="C149" s="440"/>
      <c r="D149" s="440"/>
      <c r="E149" s="440"/>
      <c r="F149" s="440"/>
      <c r="G149" s="439"/>
      <c r="H149" s="439"/>
      <c r="I149" s="439"/>
      <c r="J149" s="439"/>
      <c r="K149" s="440"/>
      <c r="L149" s="439"/>
      <c r="M149" s="439"/>
      <c r="N149" s="439"/>
      <c r="O149" s="439"/>
      <c r="P149" s="440"/>
      <c r="Q149" s="439"/>
      <c r="R149" s="439"/>
      <c r="S149" s="439"/>
      <c r="T149" s="439"/>
      <c r="U149" s="440"/>
      <c r="V149" s="439"/>
      <c r="W149" s="439"/>
      <c r="X149" s="439"/>
      <c r="Y149" s="439"/>
      <c r="Z149" s="440"/>
      <c r="AA149" s="439"/>
      <c r="AB149" s="439"/>
      <c r="AC149" s="439"/>
      <c r="AD149" s="439"/>
      <c r="AE149" s="440"/>
      <c r="AF149" s="439"/>
      <c r="AG149" s="439"/>
      <c r="AH149" s="439"/>
      <c r="AI149" s="439"/>
      <c r="AJ149" s="440"/>
      <c r="AK149" s="439"/>
      <c r="AL149" s="439"/>
      <c r="AM149" s="439">
        <f>AM151-AM148-AM150</f>
        <v>-3673</v>
      </c>
      <c r="AN149" s="439">
        <f>AN151-AN148-AN150</f>
        <v>-3188</v>
      </c>
      <c r="AO149" s="440"/>
      <c r="AP149" s="439">
        <f t="shared" ref="AP149:AW149" si="103">AP151-AP148-AP150</f>
        <v>-2846</v>
      </c>
      <c r="AQ149" s="439">
        <f t="shared" si="103"/>
        <v>-3356</v>
      </c>
      <c r="AR149" s="439">
        <f t="shared" si="103"/>
        <v>-2895</v>
      </c>
      <c r="AS149" s="439">
        <f t="shared" si="103"/>
        <v>-3185</v>
      </c>
      <c r="AT149" s="440">
        <f t="shared" si="103"/>
        <v>-12282</v>
      </c>
      <c r="AU149" s="439">
        <f t="shared" si="103"/>
        <v>-2659</v>
      </c>
      <c r="AV149" s="439">
        <f t="shared" si="103"/>
        <v>-2033</v>
      </c>
      <c r="AW149" s="726">
        <f t="shared" si="103"/>
        <v>-3392</v>
      </c>
      <c r="AX149" s="439">
        <f>-AX148*AX155*AX3/AY3</f>
        <v>-2330.0814794520552</v>
      </c>
      <c r="AY149" s="440">
        <f>SUM(AU149,AV149,AW149,AX149)</f>
        <v>-10414.081479452056</v>
      </c>
      <c r="AZ149" s="439">
        <f>-AZ148*AZ155*AZ3/BD3</f>
        <v>-2685.9731068913497</v>
      </c>
      <c r="BA149" s="439">
        <f>-BA148*BA155*BA3/BD3</f>
        <v>-3026.0952235034993</v>
      </c>
      <c r="BB149" s="439">
        <f>-BB148*BB155*BB3/BD3</f>
        <v>-3243.788519019397</v>
      </c>
      <c r="BC149" s="439">
        <f>-BC148*BC155*BC3/BD3</f>
        <v>-3493.8938323106286</v>
      </c>
      <c r="BD149" s="440">
        <f>SUM(AZ149,BA149,BB149,BC149)</f>
        <v>-12449.750681724874</v>
      </c>
      <c r="BE149" s="440">
        <f>-BE148*BE155</f>
        <v>-15017.350070329383</v>
      </c>
      <c r="BF149" s="440">
        <f>-BF148*BF155</f>
        <v>-19424.190888424684</v>
      </c>
      <c r="BG149" s="440">
        <f>-BG148*BG155</f>
        <v>-21785.985075202763</v>
      </c>
      <c r="BH149" s="361"/>
    </row>
    <row r="150" spans="1:60" s="356" customFormat="1" hidden="1" outlineLevel="1" x14ac:dyDescent="0.25">
      <c r="A150" s="526" t="s">
        <v>629</v>
      </c>
      <c r="B150" s="577"/>
      <c r="C150" s="440"/>
      <c r="D150" s="440"/>
      <c r="E150" s="440"/>
      <c r="F150" s="440"/>
      <c r="G150" s="439"/>
      <c r="H150" s="439"/>
      <c r="I150" s="439"/>
      <c r="J150" s="439"/>
      <c r="K150" s="440"/>
      <c r="L150" s="439"/>
      <c r="M150" s="439"/>
      <c r="N150" s="439"/>
      <c r="O150" s="439"/>
      <c r="P150" s="440"/>
      <c r="Q150" s="439"/>
      <c r="R150" s="439"/>
      <c r="S150" s="439"/>
      <c r="T150" s="439"/>
      <c r="U150" s="440"/>
      <c r="V150" s="439"/>
      <c r="W150" s="439"/>
      <c r="X150" s="439"/>
      <c r="Y150" s="439"/>
      <c r="Z150" s="440"/>
      <c r="AA150" s="439"/>
      <c r="AB150" s="439"/>
      <c r="AC150" s="439"/>
      <c r="AD150" s="439"/>
      <c r="AE150" s="440"/>
      <c r="AF150" s="439"/>
      <c r="AG150" s="439"/>
      <c r="AH150" s="439"/>
      <c r="AI150" s="439"/>
      <c r="AJ150" s="440"/>
      <c r="AK150" s="439"/>
      <c r="AL150" s="439"/>
      <c r="AM150" s="439">
        <f>AM142</f>
        <v>9086</v>
      </c>
      <c r="AN150" s="439">
        <f>AN142</f>
        <v>8848</v>
      </c>
      <c r="AO150" s="440"/>
      <c r="AP150" s="439">
        <f t="shared" ref="AP150:AX150" si="104">AP142</f>
        <v>6104</v>
      </c>
      <c r="AQ150" s="439">
        <f t="shared" si="104"/>
        <v>4716</v>
      </c>
      <c r="AR150" s="439">
        <f t="shared" si="104"/>
        <v>10014</v>
      </c>
      <c r="AS150" s="439">
        <f t="shared" si="104"/>
        <v>13636</v>
      </c>
      <c r="AT150" s="440">
        <f t="shared" si="104"/>
        <v>34470</v>
      </c>
      <c r="AU150" s="439">
        <f t="shared" si="104"/>
        <v>13602</v>
      </c>
      <c r="AV150" s="439">
        <f t="shared" si="104"/>
        <v>14492</v>
      </c>
      <c r="AW150" s="726">
        <f t="shared" si="104"/>
        <v>16658</v>
      </c>
      <c r="AX150" s="439">
        <f t="shared" si="104"/>
        <v>23253</v>
      </c>
      <c r="AY150" s="440">
        <f>SUM(AU150,AV150,AW150,AX150)</f>
        <v>68005</v>
      </c>
      <c r="AZ150" s="439">
        <f>AZ142</f>
        <v>26647</v>
      </c>
      <c r="BA150" s="439">
        <f>BA142</f>
        <v>30644</v>
      </c>
      <c r="BB150" s="439">
        <f>BB142</f>
        <v>35241</v>
      </c>
      <c r="BC150" s="439">
        <f>BC142</f>
        <v>40527</v>
      </c>
      <c r="BD150" s="440">
        <f>SUM(AZ150,BA150,BB150,BC150)</f>
        <v>133059</v>
      </c>
      <c r="BE150" s="440">
        <f>BE142</f>
        <v>153212</v>
      </c>
      <c r="BF150" s="440">
        <f>BF142</f>
        <v>175590</v>
      </c>
      <c r="BG150" s="440">
        <f>BG142</f>
        <v>201265</v>
      </c>
      <c r="BH150" s="361"/>
    </row>
    <row r="151" spans="1:60" s="116" customFormat="1" hidden="1" outlineLevel="1" x14ac:dyDescent="0.25">
      <c r="A151" s="86" t="s">
        <v>627</v>
      </c>
      <c r="B151" s="636"/>
      <c r="C151" s="45"/>
      <c r="D151" s="45"/>
      <c r="E151" s="45"/>
      <c r="F151" s="45"/>
      <c r="G151" s="44"/>
      <c r="H151" s="44"/>
      <c r="I151" s="44"/>
      <c r="J151" s="44"/>
      <c r="K151" s="45"/>
      <c r="L151" s="44"/>
      <c r="M151" s="44"/>
      <c r="N151" s="44"/>
      <c r="O151" s="44"/>
      <c r="P151" s="45"/>
      <c r="Q151" s="44"/>
      <c r="R151" s="44"/>
      <c r="S151" s="44"/>
      <c r="T151" s="44"/>
      <c r="U151" s="45"/>
      <c r="V151" s="44"/>
      <c r="W151" s="44"/>
      <c r="X151" s="44"/>
      <c r="Y151" s="44"/>
      <c r="Z151" s="45"/>
      <c r="AA151" s="44"/>
      <c r="AB151" s="44"/>
      <c r="AC151" s="44"/>
      <c r="AD151" s="44"/>
      <c r="AE151" s="45"/>
      <c r="AF151" s="44"/>
      <c r="AG151" s="44"/>
      <c r="AH151" s="44"/>
      <c r="AI151" s="44"/>
      <c r="AJ151" s="45"/>
      <c r="AK151" s="44"/>
      <c r="AL151" s="31">
        <v>38828</v>
      </c>
      <c r="AM151" s="31">
        <v>44241</v>
      </c>
      <c r="AN151" s="30">
        <f>AO151</f>
        <v>49901</v>
      </c>
      <c r="AO151" s="29">
        <v>49901</v>
      </c>
      <c r="AP151" s="30">
        <v>53159</v>
      </c>
      <c r="AQ151" s="31">
        <v>54519</v>
      </c>
      <c r="AR151" s="31">
        <v>61638</v>
      </c>
      <c r="AS151" s="30">
        <f>AT151</f>
        <v>72089</v>
      </c>
      <c r="AT151" s="29">
        <v>72089</v>
      </c>
      <c r="AU151" s="30">
        <v>83032</v>
      </c>
      <c r="AV151" s="31">
        <v>95491</v>
      </c>
      <c r="AW151" s="795">
        <v>108757</v>
      </c>
      <c r="AX151" s="44">
        <f t="shared" ref="AX151:BG151" si="105">SUM(AX148:AX150)</f>
        <v>129679.91852054794</v>
      </c>
      <c r="AY151" s="45">
        <f t="shared" si="105"/>
        <v>129679.91852054794</v>
      </c>
      <c r="AZ151" s="44">
        <f t="shared" si="105"/>
        <v>153640.94541365659</v>
      </c>
      <c r="BA151" s="44">
        <f t="shared" si="105"/>
        <v>181258.85019015308</v>
      </c>
      <c r="BB151" s="44">
        <f t="shared" si="105"/>
        <v>213256.06167113368</v>
      </c>
      <c r="BC151" s="44">
        <f t="shared" si="105"/>
        <v>250289.16783882305</v>
      </c>
      <c r="BD151" s="45">
        <f t="shared" si="105"/>
        <v>250289.16783882305</v>
      </c>
      <c r="BE151" s="45">
        <f t="shared" si="105"/>
        <v>388483.81776849367</v>
      </c>
      <c r="BF151" s="45">
        <f t="shared" si="105"/>
        <v>544649.62688006903</v>
      </c>
      <c r="BG151" s="45">
        <f t="shared" si="105"/>
        <v>724128.64180486626</v>
      </c>
      <c r="BH151" s="368"/>
    </row>
    <row r="152" spans="1:60" s="574" customFormat="1" hidden="1" outlineLevel="1" x14ac:dyDescent="0.25">
      <c r="A152" s="372" t="s">
        <v>799</v>
      </c>
      <c r="B152" s="641"/>
      <c r="C152" s="191"/>
      <c r="D152" s="191"/>
      <c r="E152" s="191"/>
      <c r="F152" s="191"/>
      <c r="G152" s="1004"/>
      <c r="H152" s="1004"/>
      <c r="I152" s="1004"/>
      <c r="J152" s="1004"/>
      <c r="K152" s="191"/>
      <c r="L152" s="1004"/>
      <c r="M152" s="1004"/>
      <c r="N152" s="1004"/>
      <c r="O152" s="1004"/>
      <c r="P152" s="191"/>
      <c r="Q152" s="1004"/>
      <c r="R152" s="1004"/>
      <c r="S152" s="1004"/>
      <c r="T152" s="1004"/>
      <c r="U152" s="191"/>
      <c r="V152" s="1004"/>
      <c r="W152" s="1004"/>
      <c r="X152" s="1004"/>
      <c r="Y152" s="1004"/>
      <c r="Z152" s="191"/>
      <c r="AA152" s="1004"/>
      <c r="AB152" s="1004"/>
      <c r="AC152" s="1004"/>
      <c r="AD152" s="1004"/>
      <c r="AE152" s="191"/>
      <c r="AF152" s="1004"/>
      <c r="AG152" s="1004"/>
      <c r="AH152" s="1004"/>
      <c r="AI152" s="1004"/>
      <c r="AJ152" s="191"/>
      <c r="AK152" s="1004"/>
      <c r="AL152" s="1004"/>
      <c r="AM152" s="573">
        <f>AM151/AL151-1</f>
        <v>0.13940970433707633</v>
      </c>
      <c r="AN152" s="572">
        <f>AN151/AM151-1</f>
        <v>0.12793562532492486</v>
      </c>
      <c r="AO152" s="191"/>
      <c r="AP152" s="572">
        <f>AP151/AN151-1</f>
        <v>6.5289272760064909E-2</v>
      </c>
      <c r="AQ152" s="573">
        <f>AQ151/AP151-1</f>
        <v>2.5583626479053434E-2</v>
      </c>
      <c r="AR152" s="573">
        <f>AR151/AQ151-1</f>
        <v>0.13057833049028789</v>
      </c>
      <c r="AS152" s="572">
        <f>AS151/AR151-1</f>
        <v>0.16955449560336167</v>
      </c>
      <c r="AT152" s="191"/>
      <c r="AU152" s="572">
        <f>AU151/AS151-1</f>
        <v>0.15179847133404545</v>
      </c>
      <c r="AV152" s="573">
        <f>AV151/AU151-1</f>
        <v>0.15005058290779449</v>
      </c>
      <c r="AW152" s="844">
        <f>AW151/AV151-1</f>
        <v>0.1389240870867412</v>
      </c>
      <c r="AX152" s="1004">
        <f>AX151/AW151-1</f>
        <v>0.19238226983594564</v>
      </c>
      <c r="AY152" s="191"/>
      <c r="AZ152" s="1004">
        <f>AZ151/AX151-1</f>
        <v>0.18477052705205077</v>
      </c>
      <c r="BA152" s="1004">
        <f>BA151/AZ151-1</f>
        <v>0.17975614965228948</v>
      </c>
      <c r="BB152" s="1004">
        <f>BB151/BA151-1</f>
        <v>0.17652771959776481</v>
      </c>
      <c r="BC152" s="1004">
        <f>BC151/BB151-1</f>
        <v>0.17365558510969237</v>
      </c>
      <c r="BD152" s="191"/>
      <c r="BE152" s="191"/>
      <c r="BF152" s="191"/>
      <c r="BG152" s="191"/>
      <c r="BH152" s="572"/>
    </row>
    <row r="153" spans="1:60" s="574" customFormat="1" hidden="1" outlineLevel="1" x14ac:dyDescent="0.25">
      <c r="A153" s="372" t="s">
        <v>800</v>
      </c>
      <c r="B153" s="641"/>
      <c r="C153" s="191"/>
      <c r="D153" s="191"/>
      <c r="E153" s="191"/>
      <c r="F153" s="191"/>
      <c r="G153" s="1004"/>
      <c r="H153" s="1004"/>
      <c r="I153" s="1004"/>
      <c r="J153" s="1004"/>
      <c r="K153" s="191"/>
      <c r="L153" s="1004"/>
      <c r="M153" s="1004"/>
      <c r="N153" s="1004"/>
      <c r="O153" s="1004"/>
      <c r="P153" s="191"/>
      <c r="Q153" s="1004"/>
      <c r="R153" s="1004"/>
      <c r="S153" s="1004"/>
      <c r="T153" s="1004"/>
      <c r="U153" s="191"/>
      <c r="V153" s="1004"/>
      <c r="W153" s="1004"/>
      <c r="X153" s="1004"/>
      <c r="Y153" s="1004"/>
      <c r="Z153" s="191"/>
      <c r="AA153" s="1004"/>
      <c r="AB153" s="1004"/>
      <c r="AC153" s="1004"/>
      <c r="AD153" s="1004"/>
      <c r="AE153" s="191"/>
      <c r="AF153" s="1004"/>
      <c r="AG153" s="1004"/>
      <c r="AH153" s="1004"/>
      <c r="AI153" s="1004"/>
      <c r="AJ153" s="191"/>
      <c r="AK153" s="1004"/>
      <c r="AL153" s="1004"/>
      <c r="AM153" s="1004"/>
      <c r="AN153" s="1004"/>
      <c r="AO153" s="191"/>
      <c r="AP153" s="1004"/>
      <c r="AQ153" s="573">
        <f t="shared" ref="AQ153" si="106">AQ151/AL151-1</f>
        <v>0.40411558669001746</v>
      </c>
      <c r="AR153" s="573">
        <f t="shared" ref="AR153" si="107">AR151/AM151-1</f>
        <v>0.3932325218688546</v>
      </c>
      <c r="AS153" s="572">
        <f t="shared" ref="AS153" si="108">AS151/AN151-1</f>
        <v>0.44464038796817706</v>
      </c>
      <c r="AT153" s="571">
        <f t="shared" ref="AT153" si="109">AT151/AO151-1</f>
        <v>0.44464038796817706</v>
      </c>
      <c r="AU153" s="572">
        <f t="shared" ref="AU153" si="110">AU151/AP151-1</f>
        <v>0.56195564250644292</v>
      </c>
      <c r="AV153" s="573">
        <f t="shared" ref="AV153" si="111">AV151/AQ151-1</f>
        <v>0.751517819475779</v>
      </c>
      <c r="AW153" s="844">
        <f t="shared" ref="AW153" si="112">AW151/AR151-1</f>
        <v>0.76444725656251022</v>
      </c>
      <c r="AX153" s="1004">
        <f t="shared" ref="AX153" si="113">AX151/AS151-1</f>
        <v>0.79888635603972791</v>
      </c>
      <c r="AY153" s="191">
        <f t="shared" ref="AY153" si="114">AY151/AT151-1</f>
        <v>0.79888635603972791</v>
      </c>
      <c r="AZ153" s="1004">
        <f t="shared" ref="AZ153" si="115">AZ151/AU151-1</f>
        <v>0.85038232745997444</v>
      </c>
      <c r="BA153" s="1004">
        <f t="shared" ref="BA153" si="116">BA151/AV151-1</f>
        <v>0.89817731713096616</v>
      </c>
      <c r="BB153" s="1004">
        <f t="shared" ref="BB153" si="117">BB151/AW151-1</f>
        <v>0.9608490641626164</v>
      </c>
      <c r="BC153" s="1004">
        <f t="shared" ref="BC153" si="118">BC151/AX151-1</f>
        <v>0.93005340143828374</v>
      </c>
      <c r="BD153" s="191">
        <f t="shared" ref="BD153" si="119">BD151/AY151-1</f>
        <v>0.93005340143828374</v>
      </c>
      <c r="BE153" s="191">
        <f>BE151/BD151-1</f>
        <v>0.55213995524833437</v>
      </c>
      <c r="BF153" s="191">
        <f>BF151/BE151-1</f>
        <v>0.40198793867042903</v>
      </c>
      <c r="BG153" s="191">
        <f>BG151/BF151-1</f>
        <v>0.3295311445505098</v>
      </c>
      <c r="BH153" s="572"/>
    </row>
    <row r="154" spans="1:60" s="116" customFormat="1" hidden="1" outlineLevel="1" x14ac:dyDescent="0.25">
      <c r="A154" s="436" t="s">
        <v>630</v>
      </c>
      <c r="B154" s="637"/>
      <c r="C154" s="438"/>
      <c r="D154" s="438"/>
      <c r="E154" s="438"/>
      <c r="F154" s="438"/>
      <c r="G154" s="437"/>
      <c r="H154" s="437"/>
      <c r="I154" s="437"/>
      <c r="J154" s="437"/>
      <c r="K154" s="438"/>
      <c r="L154" s="437"/>
      <c r="M154" s="437"/>
      <c r="N154" s="437"/>
      <c r="O154" s="437"/>
      <c r="P154" s="438"/>
      <c r="Q154" s="437"/>
      <c r="R154" s="437"/>
      <c r="S154" s="437"/>
      <c r="T154" s="437"/>
      <c r="U154" s="438"/>
      <c r="V154" s="437"/>
      <c r="W154" s="437"/>
      <c r="X154" s="437"/>
      <c r="Y154" s="437"/>
      <c r="Z154" s="438"/>
      <c r="AA154" s="437"/>
      <c r="AB154" s="437"/>
      <c r="AC154" s="437"/>
      <c r="AD154" s="437"/>
      <c r="AE154" s="438"/>
      <c r="AF154" s="437"/>
      <c r="AG154" s="437"/>
      <c r="AH154" s="437"/>
      <c r="AI154" s="437"/>
      <c r="AJ154" s="438"/>
      <c r="AK154" s="437"/>
      <c r="AL154" s="34">
        <f>AVERAGE(AL148,AL151)</f>
        <v>38828</v>
      </c>
      <c r="AM154" s="34">
        <f>AVERAGE(AM148,AM151)</f>
        <v>41534.5</v>
      </c>
      <c r="AN154" s="368">
        <f>AVERAGE(AN148,AN151)</f>
        <v>47071</v>
      </c>
      <c r="AO154" s="33">
        <f>AVERAGE(AK154,AL154,AM154,AN154)</f>
        <v>42477.833333333336</v>
      </c>
      <c r="AP154" s="368">
        <f>AVERAGE(AP148,AP151)</f>
        <v>51530</v>
      </c>
      <c r="AQ154" s="34">
        <f>AVERAGE(AQ148,AQ151)</f>
        <v>53839</v>
      </c>
      <c r="AR154" s="34">
        <f>AVERAGE(AR148,AR151)</f>
        <v>58078.5</v>
      </c>
      <c r="AS154" s="368">
        <f>AVERAGE(AS148,AS151)</f>
        <v>66863.5</v>
      </c>
      <c r="AT154" s="33">
        <f>AVERAGE(AP154,AQ154,AR154,AS154)</f>
        <v>57577.75</v>
      </c>
      <c r="AU154" s="368">
        <f>AVERAGE(AU148,AU151)</f>
        <v>77560.5</v>
      </c>
      <c r="AV154" s="34">
        <f>AVERAGE(AV148,AV151)</f>
        <v>89261.5</v>
      </c>
      <c r="AW154" s="793">
        <f>AVERAGE(AW148,AW151)</f>
        <v>102124</v>
      </c>
      <c r="AX154" s="437">
        <f>AVERAGE(AX148,AX151)</f>
        <v>119218.45926027397</v>
      </c>
      <c r="AY154" s="438">
        <f>AVERAGE(AU154,AV154,AW154,AX154)</f>
        <v>97041.114815068489</v>
      </c>
      <c r="AZ154" s="437">
        <f>AVERAGE(AZ148,AZ151)</f>
        <v>141660.43196710228</v>
      </c>
      <c r="BA154" s="437">
        <f>AVERAGE(BA148,BA151)</f>
        <v>167449.89780190482</v>
      </c>
      <c r="BB154" s="437">
        <f>AVERAGE(BB148,BB151)</f>
        <v>197257.45593064337</v>
      </c>
      <c r="BC154" s="437">
        <f>AVERAGE(BC148,BC151)</f>
        <v>231772.61475497836</v>
      </c>
      <c r="BD154" s="438">
        <f>AVERAGE(AZ154,BA154,BB154,BC154)</f>
        <v>184535.10011365722</v>
      </c>
      <c r="BE154" s="438">
        <f>AVERAGE(BE148,BE151)</f>
        <v>319386.49280365836</v>
      </c>
      <c r="BF154" s="438">
        <f>AVERAGE(BF148,BF151)</f>
        <v>466566.72232428135</v>
      </c>
      <c r="BG154" s="438">
        <f>AVERAGE(BG148,BG151)</f>
        <v>634389.13434246765</v>
      </c>
      <c r="BH154" s="368"/>
    </row>
    <row r="155" spans="1:60" s="120" customFormat="1" hidden="1" outlineLevel="1" x14ac:dyDescent="0.25">
      <c r="A155" s="222" t="s">
        <v>631</v>
      </c>
      <c r="B155" s="639"/>
      <c r="C155" s="100"/>
      <c r="D155" s="100"/>
      <c r="E155" s="100"/>
      <c r="F155" s="100"/>
      <c r="G155" s="1005"/>
      <c r="H155" s="1005"/>
      <c r="I155" s="1005"/>
      <c r="J155" s="1005"/>
      <c r="K155" s="100"/>
      <c r="L155" s="1005"/>
      <c r="M155" s="1005"/>
      <c r="N155" s="1005"/>
      <c r="O155" s="1005"/>
      <c r="P155" s="100"/>
      <c r="Q155" s="1005"/>
      <c r="R155" s="1005"/>
      <c r="S155" s="1005"/>
      <c r="T155" s="1005"/>
      <c r="U155" s="100"/>
      <c r="V155" s="1005"/>
      <c r="W155" s="1005"/>
      <c r="X155" s="1005"/>
      <c r="Y155" s="1005"/>
      <c r="Z155" s="100"/>
      <c r="AA155" s="1005"/>
      <c r="AB155" s="1005"/>
      <c r="AC155" s="1005"/>
      <c r="AD155" s="1005"/>
      <c r="AE155" s="100"/>
      <c r="AF155" s="1005"/>
      <c r="AG155" s="1005"/>
      <c r="AH155" s="1005"/>
      <c r="AI155" s="1005"/>
      <c r="AJ155" s="100"/>
      <c r="AK155" s="1005"/>
      <c r="AL155" s="1005"/>
      <c r="AM155" s="1005">
        <f>-AM149/AM148*AO3/AM3</f>
        <v>0.37530205678555595</v>
      </c>
      <c r="AN155" s="1005">
        <f>-AN149/AN148*AO3/AN3</f>
        <v>0.285889638079177</v>
      </c>
      <c r="AO155" s="100"/>
      <c r="AP155" s="1005">
        <f>-AP149/AP148*AT3/AP3</f>
        <v>0.2293851716508577</v>
      </c>
      <c r="AQ155" s="1005">
        <f>-AQ149/AQ148*AT3/AQ3</f>
        <v>0.25391294497184375</v>
      </c>
      <c r="AR155" s="1005">
        <f>-AR149/AR148*AT3/AR3</f>
        <v>0.21124865124802919</v>
      </c>
      <c r="AS155" s="1005">
        <f>-AS149/AS148*AT3/AS3</f>
        <v>0.20556735892736977</v>
      </c>
      <c r="AT155" s="100">
        <f>-AT149/AT148</f>
        <v>0.24612733211759283</v>
      </c>
      <c r="AU155" s="1005">
        <f>-AU149/AU148*AY3/AU3</f>
        <v>0.14958901111434786</v>
      </c>
      <c r="AV155" s="1005">
        <f>-AV149/AV148*AY3/AV3</f>
        <v>9.8207205165968051E-2</v>
      </c>
      <c r="AW155" s="727">
        <f>-AW149/AW148*AY3/AW3</f>
        <v>0.14092837340008824</v>
      </c>
      <c r="AX155" s="99">
        <v>8.5000000000000006E-2</v>
      </c>
      <c r="AY155" s="100">
        <f>-AY149/AY148</f>
        <v>0.14446145014429462</v>
      </c>
      <c r="AZ155" s="99">
        <v>8.4000000000000005E-2</v>
      </c>
      <c r="BA155" s="99">
        <v>7.9000000000000001E-2</v>
      </c>
      <c r="BB155" s="99">
        <v>7.0999999999999994E-2</v>
      </c>
      <c r="BC155" s="99">
        <v>6.5000000000000002E-2</v>
      </c>
      <c r="BD155" s="100">
        <f>-BD149/BD148</f>
        <v>9.6003689883196491E-2</v>
      </c>
      <c r="BE155" s="1011">
        <v>0.06</v>
      </c>
      <c r="BF155" s="1011">
        <v>0.05</v>
      </c>
      <c r="BG155" s="1011">
        <v>0.04</v>
      </c>
      <c r="BH155" s="366"/>
    </row>
    <row r="156" spans="1:60" s="116" customFormat="1" hidden="1" outlineLevel="1" x14ac:dyDescent="0.25">
      <c r="A156" s="645"/>
      <c r="B156" s="531"/>
      <c r="C156" s="438"/>
      <c r="D156" s="438"/>
      <c r="E156" s="438"/>
      <c r="F156" s="438"/>
      <c r="G156" s="437"/>
      <c r="H156" s="437"/>
      <c r="I156" s="437"/>
      <c r="J156" s="437"/>
      <c r="K156" s="438"/>
      <c r="L156" s="437"/>
      <c r="M156" s="437"/>
      <c r="N156" s="437"/>
      <c r="O156" s="437"/>
      <c r="P156" s="438"/>
      <c r="Q156" s="437"/>
      <c r="R156" s="437"/>
      <c r="S156" s="437"/>
      <c r="T156" s="437"/>
      <c r="U156" s="438"/>
      <c r="V156" s="437"/>
      <c r="W156" s="437"/>
      <c r="X156" s="437"/>
      <c r="Y156" s="437"/>
      <c r="Z156" s="438"/>
      <c r="AA156" s="437"/>
      <c r="AB156" s="437"/>
      <c r="AC156" s="437"/>
      <c r="AD156" s="437"/>
      <c r="AE156" s="438"/>
      <c r="AF156" s="437"/>
      <c r="AG156" s="437"/>
      <c r="AH156" s="437"/>
      <c r="AI156" s="437"/>
      <c r="AJ156" s="438"/>
      <c r="AK156" s="437"/>
      <c r="AL156" s="437"/>
      <c r="AM156" s="437"/>
      <c r="AN156" s="437"/>
      <c r="AO156" s="438"/>
      <c r="AP156" s="437"/>
      <c r="AQ156" s="437"/>
      <c r="AR156" s="437"/>
      <c r="AS156" s="437"/>
      <c r="AT156" s="438"/>
      <c r="AU156" s="437"/>
      <c r="AV156" s="437"/>
      <c r="AW156" s="725"/>
      <c r="AX156" s="437"/>
      <c r="AY156" s="438"/>
      <c r="AZ156" s="437"/>
      <c r="BA156" s="437"/>
      <c r="BB156" s="437"/>
      <c r="BC156" s="437"/>
      <c r="BD156" s="438"/>
      <c r="BE156" s="438"/>
      <c r="BF156" s="438"/>
      <c r="BG156" s="438"/>
      <c r="BH156" s="368"/>
    </row>
    <row r="157" spans="1:60" s="830" customFormat="1" hidden="1" outlineLevel="1" x14ac:dyDescent="0.25">
      <c r="A157" s="839" t="s">
        <v>645</v>
      </c>
      <c r="B157" s="828"/>
      <c r="C157" s="826"/>
      <c r="D157" s="826"/>
      <c r="E157" s="826"/>
      <c r="F157" s="826"/>
      <c r="G157" s="825"/>
      <c r="H157" s="825"/>
      <c r="I157" s="825"/>
      <c r="J157" s="825"/>
      <c r="K157" s="826"/>
      <c r="L157" s="825"/>
      <c r="M157" s="825"/>
      <c r="N157" s="825"/>
      <c r="O157" s="825"/>
      <c r="P157" s="826"/>
      <c r="Q157" s="825"/>
      <c r="R157" s="825"/>
      <c r="S157" s="825"/>
      <c r="T157" s="825"/>
      <c r="U157" s="826"/>
      <c r="V157" s="825"/>
      <c r="W157" s="825"/>
      <c r="X157" s="825"/>
      <c r="Y157" s="825"/>
      <c r="Z157" s="826"/>
      <c r="AA157" s="825"/>
      <c r="AB157" s="825"/>
      <c r="AC157" s="825"/>
      <c r="AD157" s="825"/>
      <c r="AE157" s="826"/>
      <c r="AF157" s="825"/>
      <c r="AG157" s="825"/>
      <c r="AH157" s="825"/>
      <c r="AI157" s="825"/>
      <c r="AJ157" s="826"/>
      <c r="AK157" s="825"/>
      <c r="AL157" s="825">
        <f t="shared" ref="AL157:AW157" si="120">AL167/AL154*1000</f>
        <v>5.3662820644895435</v>
      </c>
      <c r="AM157" s="825">
        <f t="shared" si="120"/>
        <v>5.3208778244591848</v>
      </c>
      <c r="AN157" s="825">
        <f t="shared" si="120"/>
        <v>4.7697733211531528</v>
      </c>
      <c r="AO157" s="826">
        <f t="shared" si="120"/>
        <v>20.457728933129829</v>
      </c>
      <c r="AP157" s="825">
        <f t="shared" si="120"/>
        <v>4.6380749078206875</v>
      </c>
      <c r="AQ157" s="825">
        <f t="shared" si="120"/>
        <v>4.9778041939857722</v>
      </c>
      <c r="AR157" s="825">
        <f t="shared" si="120"/>
        <v>4.5627900169598048</v>
      </c>
      <c r="AS157" s="825">
        <f t="shared" si="120"/>
        <v>4.1876360046961345</v>
      </c>
      <c r="AT157" s="826">
        <f t="shared" si="120"/>
        <v>18.270946676450539</v>
      </c>
      <c r="AU157" s="825">
        <f t="shared" si="120"/>
        <v>3.8292687643839325</v>
      </c>
      <c r="AV157" s="825">
        <f t="shared" si="120"/>
        <v>3.7194087036404273</v>
      </c>
      <c r="AW157" s="840">
        <f t="shared" si="120"/>
        <v>3.7699267557087461</v>
      </c>
      <c r="AX157" s="825">
        <f>AS157*(1+AX158)</f>
        <v>3.7688724042265211</v>
      </c>
      <c r="AY157" s="826">
        <f>AY167/AY154*1000</f>
        <v>15.079372943819758</v>
      </c>
      <c r="AZ157" s="825">
        <f>AU157*(1+AZ158)</f>
        <v>3.6378053261647358</v>
      </c>
      <c r="BA157" s="825">
        <f>AV157*(1+BA158)</f>
        <v>3.5334382684584056</v>
      </c>
      <c r="BB157" s="825">
        <f>AW157*(1+BB158)</f>
        <v>3.5814304179233085</v>
      </c>
      <c r="BC157" s="825">
        <f>AX157*(1+BC158)</f>
        <v>3.5804287840151949</v>
      </c>
      <c r="BD157" s="826">
        <f>BD167/BD154*1000</f>
        <v>14.324191675614752</v>
      </c>
      <c r="BE157" s="826">
        <f>BD157*(1+BE158)</f>
        <v>13.607982091834014</v>
      </c>
      <c r="BF157" s="826">
        <f>BE157*(1+BF158)</f>
        <v>12.927582987242312</v>
      </c>
      <c r="BG157" s="826">
        <f>BF157*(1+BG158)</f>
        <v>12.281203837880195</v>
      </c>
      <c r="BH157" s="829"/>
    </row>
    <row r="158" spans="1:60" s="574" customFormat="1" hidden="1" outlineLevel="1" x14ac:dyDescent="0.25">
      <c r="A158" s="658" t="s">
        <v>802</v>
      </c>
      <c r="B158" s="237"/>
      <c r="C158" s="191"/>
      <c r="D158" s="191"/>
      <c r="E158" s="191"/>
      <c r="F158" s="191"/>
      <c r="G158" s="1004"/>
      <c r="H158" s="1004"/>
      <c r="I158" s="1004"/>
      <c r="J158" s="1004"/>
      <c r="K158" s="191"/>
      <c r="L158" s="1004"/>
      <c r="M158" s="1004"/>
      <c r="N158" s="1004"/>
      <c r="O158" s="1004"/>
      <c r="P158" s="191"/>
      <c r="Q158" s="1004"/>
      <c r="R158" s="1004"/>
      <c r="S158" s="1004"/>
      <c r="T158" s="1004"/>
      <c r="U158" s="191"/>
      <c r="V158" s="1004"/>
      <c r="W158" s="1004"/>
      <c r="X158" s="1004"/>
      <c r="Y158" s="1004"/>
      <c r="Z158" s="191"/>
      <c r="AA158" s="1004"/>
      <c r="AB158" s="1004"/>
      <c r="AC158" s="1004"/>
      <c r="AD158" s="1004"/>
      <c r="AE158" s="191"/>
      <c r="AF158" s="1004"/>
      <c r="AG158" s="1004"/>
      <c r="AH158" s="1004"/>
      <c r="AI158" s="1004"/>
      <c r="AJ158" s="191"/>
      <c r="AK158" s="1004"/>
      <c r="AL158" s="1004"/>
      <c r="AM158" s="1004"/>
      <c r="AN158" s="1004"/>
      <c r="AO158" s="191"/>
      <c r="AP158" s="1004"/>
      <c r="AQ158" s="1004">
        <f t="shared" ref="AQ158:AW158" si="121">AQ157/AL157-1</f>
        <v>-7.2392368838465893E-2</v>
      </c>
      <c r="AR158" s="1004">
        <f t="shared" si="121"/>
        <v>-0.14247419927865612</v>
      </c>
      <c r="AS158" s="1004">
        <f t="shared" si="121"/>
        <v>-0.12204716603100108</v>
      </c>
      <c r="AT158" s="191">
        <f t="shared" si="121"/>
        <v>-0.10689271833776004</v>
      </c>
      <c r="AU158" s="1004">
        <f t="shared" si="121"/>
        <v>-0.17438401912676138</v>
      </c>
      <c r="AV158" s="1004">
        <f t="shared" si="121"/>
        <v>-0.25280132389814558</v>
      </c>
      <c r="AW158" s="820">
        <f t="shared" si="121"/>
        <v>-0.17376720346630037</v>
      </c>
      <c r="AX158" s="620">
        <v>-0.1</v>
      </c>
      <c r="AY158" s="191">
        <f>AY157/AT157-1</f>
        <v>-0.1746802609163326</v>
      </c>
      <c r="AZ158" s="620">
        <v>-0.05</v>
      </c>
      <c r="BA158" s="620">
        <v>-0.05</v>
      </c>
      <c r="BB158" s="620">
        <v>-0.05</v>
      </c>
      <c r="BC158" s="620">
        <v>-0.05</v>
      </c>
      <c r="BD158" s="191">
        <f>BD157/AY157-1</f>
        <v>-5.008041587793699E-2</v>
      </c>
      <c r="BE158" s="1012">
        <v>-0.05</v>
      </c>
      <c r="BF158" s="1012">
        <v>-0.05</v>
      </c>
      <c r="BG158" s="1012">
        <v>-0.05</v>
      </c>
      <c r="BH158" s="572"/>
    </row>
    <row r="159" spans="1:60" s="114" customFormat="1" hidden="1" outlineLevel="1" x14ac:dyDescent="0.25">
      <c r="A159" s="236"/>
      <c r="B159" s="665"/>
      <c r="C159" s="252"/>
      <c r="D159" s="252"/>
      <c r="E159" s="252"/>
      <c r="F159" s="252"/>
      <c r="G159" s="370"/>
      <c r="H159" s="370"/>
      <c r="I159" s="370"/>
      <c r="J159" s="370"/>
      <c r="K159" s="252"/>
      <c r="L159" s="370"/>
      <c r="M159" s="370"/>
      <c r="N159" s="370"/>
      <c r="O159" s="370"/>
      <c r="P159" s="252"/>
      <c r="Q159" s="370"/>
      <c r="R159" s="370"/>
      <c r="S159" s="370"/>
      <c r="T159" s="370"/>
      <c r="U159" s="252"/>
      <c r="V159" s="370"/>
      <c r="W159" s="370"/>
      <c r="X159" s="370"/>
      <c r="Y159" s="370"/>
      <c r="Z159" s="252"/>
      <c r="AA159" s="370"/>
      <c r="AB159" s="370"/>
      <c r="AC159" s="370"/>
      <c r="AD159" s="370"/>
      <c r="AE159" s="252"/>
      <c r="AF159" s="370"/>
      <c r="AG159" s="370"/>
      <c r="AH159" s="370"/>
      <c r="AI159" s="370"/>
      <c r="AJ159" s="252"/>
      <c r="AK159" s="370"/>
      <c r="AL159" s="370"/>
      <c r="AM159" s="370"/>
      <c r="AN159" s="370"/>
      <c r="AO159" s="252"/>
      <c r="AP159" s="370"/>
      <c r="AQ159" s="370"/>
      <c r="AR159" s="370"/>
      <c r="AS159" s="370"/>
      <c r="AT159" s="252"/>
      <c r="AU159" s="370"/>
      <c r="AV159" s="370"/>
      <c r="AW159" s="728"/>
      <c r="AX159" s="370"/>
      <c r="AY159" s="252"/>
      <c r="AZ159" s="370"/>
      <c r="BA159" s="370"/>
      <c r="BB159" s="370"/>
      <c r="BC159" s="370"/>
      <c r="BD159" s="252"/>
      <c r="BE159" s="252"/>
      <c r="BF159" s="252"/>
      <c r="BG159" s="252"/>
      <c r="BH159" s="365"/>
    </row>
    <row r="160" spans="1:60" s="116" customFormat="1" hidden="1" outlineLevel="1" x14ac:dyDescent="0.25">
      <c r="A160" s="645" t="s">
        <v>620</v>
      </c>
      <c r="B160" s="531"/>
      <c r="C160" s="438"/>
      <c r="D160" s="438"/>
      <c r="E160" s="438"/>
      <c r="F160" s="438"/>
      <c r="G160" s="437"/>
      <c r="H160" s="437"/>
      <c r="I160" s="437"/>
      <c r="J160" s="437"/>
      <c r="K160" s="438"/>
      <c r="L160" s="437"/>
      <c r="M160" s="437"/>
      <c r="N160" s="437"/>
      <c r="O160" s="437"/>
      <c r="P160" s="438"/>
      <c r="Q160" s="437"/>
      <c r="R160" s="437"/>
      <c r="S160" s="437"/>
      <c r="T160" s="437"/>
      <c r="U160" s="438"/>
      <c r="V160" s="437"/>
      <c r="W160" s="437"/>
      <c r="X160" s="437"/>
      <c r="Y160" s="437"/>
      <c r="Z160" s="438"/>
      <c r="AA160" s="437"/>
      <c r="AB160" s="437"/>
      <c r="AC160" s="437"/>
      <c r="AD160" s="437"/>
      <c r="AE160" s="438"/>
      <c r="AF160" s="437"/>
      <c r="AG160" s="437"/>
      <c r="AH160" s="437"/>
      <c r="AI160" s="437"/>
      <c r="AJ160" s="438"/>
      <c r="AK160" s="437"/>
      <c r="AL160" s="437"/>
      <c r="AM160" s="437"/>
      <c r="AN160" s="437"/>
      <c r="AO160" s="438">
        <f t="shared" ref="AO160:AW160" si="122">AO162-AO161</f>
        <v>2853</v>
      </c>
      <c r="AP160" s="437">
        <f t="shared" si="122"/>
        <v>2939</v>
      </c>
      <c r="AQ160" s="437">
        <f t="shared" si="122"/>
        <v>2932</v>
      </c>
      <c r="AR160" s="437">
        <f t="shared" si="122"/>
        <v>3167</v>
      </c>
      <c r="AS160" s="437">
        <f t="shared" si="122"/>
        <v>3537</v>
      </c>
      <c r="AT160" s="438">
        <f t="shared" si="122"/>
        <v>3537</v>
      </c>
      <c r="AU160" s="437">
        <f t="shared" si="122"/>
        <v>3894</v>
      </c>
      <c r="AV160" s="437">
        <f t="shared" si="122"/>
        <v>4343</v>
      </c>
      <c r="AW160" s="725">
        <f t="shared" si="122"/>
        <v>4850</v>
      </c>
      <c r="AX160" s="437">
        <f>AX151*AX163/1000</f>
        <v>6171.7812100731426</v>
      </c>
      <c r="AY160" s="438">
        <f>AX160</f>
        <v>6171.7812100731426</v>
      </c>
      <c r="AZ160" s="437">
        <f>AZ151*AZ163/1000</f>
        <v>7997.9815492733469</v>
      </c>
      <c r="BA160" s="437">
        <f>BA151*BA163/1000</f>
        <v>9892.5409059597423</v>
      </c>
      <c r="BB160" s="437">
        <f>BB151*BB163/1000</f>
        <v>11031.736834978878</v>
      </c>
      <c r="BC160" s="437">
        <f>BC151*BC163/1000</f>
        <v>14056.003434572773</v>
      </c>
      <c r="BD160" s="438">
        <f>BC160</f>
        <v>14056.003434572773</v>
      </c>
      <c r="BE160" s="438">
        <f>BE151*BE163/1000</f>
        <v>22907.728769003628</v>
      </c>
      <c r="BF160" s="438">
        <f>BF151*BF163/1000</f>
        <v>33722.177408300522</v>
      </c>
      <c r="BG160" s="438">
        <f>BG151*BG163/1000</f>
        <v>47076.419382712789</v>
      </c>
      <c r="BH160" s="368"/>
    </row>
    <row r="161" spans="1:60" s="356" customFormat="1" hidden="1" outlineLevel="1" x14ac:dyDescent="0.25">
      <c r="A161" s="452" t="s">
        <v>618</v>
      </c>
      <c r="B161" s="450"/>
      <c r="C161" s="440"/>
      <c r="D161" s="440"/>
      <c r="E161" s="440"/>
      <c r="F161" s="440"/>
      <c r="G161" s="439"/>
      <c r="H161" s="439"/>
      <c r="I161" s="439"/>
      <c r="J161" s="439"/>
      <c r="K161" s="440"/>
      <c r="L161" s="439"/>
      <c r="M161" s="439"/>
      <c r="N161" s="439"/>
      <c r="O161" s="439"/>
      <c r="P161" s="440"/>
      <c r="Q161" s="439"/>
      <c r="R161" s="439"/>
      <c r="S161" s="439"/>
      <c r="T161" s="439"/>
      <c r="U161" s="440"/>
      <c r="V161" s="439"/>
      <c r="W161" s="439"/>
      <c r="X161" s="439"/>
      <c r="Y161" s="439"/>
      <c r="Z161" s="440"/>
      <c r="AA161" s="439"/>
      <c r="AB161" s="439"/>
      <c r="AC161" s="439"/>
      <c r="AD161" s="439"/>
      <c r="AE161" s="440"/>
      <c r="AF161" s="439"/>
      <c r="AG161" s="439"/>
      <c r="AH161" s="439"/>
      <c r="AI161" s="439"/>
      <c r="AJ161" s="440"/>
      <c r="AK161" s="439"/>
      <c r="AL161" s="439"/>
      <c r="AM161" s="439"/>
      <c r="AN161" s="439"/>
      <c r="AO161" s="440">
        <v>-406</v>
      </c>
      <c r="AP161" s="439">
        <v>-412</v>
      </c>
      <c r="AQ161" s="439">
        <v>-408</v>
      </c>
      <c r="AR161" s="439">
        <v>-425</v>
      </c>
      <c r="AS161" s="439">
        <v>-446</v>
      </c>
      <c r="AT161" s="440">
        <v>-446</v>
      </c>
      <c r="AU161" s="439">
        <v>-498</v>
      </c>
      <c r="AV161" s="439">
        <v>-595</v>
      </c>
      <c r="AW161" s="726">
        <v>-683</v>
      </c>
      <c r="AX161" s="439">
        <f>AW161-AX173</f>
        <v>-838.56270447307645</v>
      </c>
      <c r="AY161" s="440">
        <f>AT161-AY173</f>
        <v>-838.56270447307645</v>
      </c>
      <c r="AZ161" s="439">
        <f>AY161-AZ173</f>
        <v>-1075.2153092186988</v>
      </c>
      <c r="BA161" s="439">
        <f>AZ161-BA173</f>
        <v>-1371.1784508435767</v>
      </c>
      <c r="BB161" s="439">
        <f>BA161-BB173</f>
        <v>-1704.8507101810201</v>
      </c>
      <c r="BC161" s="439">
        <f>BB161-BC173</f>
        <v>-2129.9966770787828</v>
      </c>
      <c r="BD161" s="440">
        <f>AY161-BD173</f>
        <v>-2129.9966770787828</v>
      </c>
      <c r="BE161" s="440">
        <f>BD161-BE173</f>
        <v>-4878.9241293592186</v>
      </c>
      <c r="BF161" s="440">
        <f>BE161-BF173</f>
        <v>-8925.5854183552801</v>
      </c>
      <c r="BG161" s="440">
        <f>BF161-BG173</f>
        <v>-14574.755744280814</v>
      </c>
      <c r="BH161" s="361"/>
    </row>
    <row r="162" spans="1:60" s="116" customFormat="1" hidden="1" outlineLevel="1" x14ac:dyDescent="0.25">
      <c r="A162" s="779" t="s">
        <v>619</v>
      </c>
      <c r="B162" s="529"/>
      <c r="C162" s="45">
        <f t="shared" ref="C162:AW162" si="123">C728</f>
        <v>0</v>
      </c>
      <c r="D162" s="45">
        <f t="shared" si="123"/>
        <v>7.9630000000000001</v>
      </c>
      <c r="E162" s="45">
        <f t="shared" si="123"/>
        <v>11.757</v>
      </c>
      <c r="F162" s="45">
        <f t="shared" si="123"/>
        <v>10.071</v>
      </c>
      <c r="G162" s="44">
        <f t="shared" si="123"/>
        <v>9.06</v>
      </c>
      <c r="H162" s="44">
        <f t="shared" si="123"/>
        <v>131.46799999999999</v>
      </c>
      <c r="I162" s="44">
        <f t="shared" si="123"/>
        <v>268.82400000000001</v>
      </c>
      <c r="J162" s="44">
        <f t="shared" si="123"/>
        <v>382.42500000000001</v>
      </c>
      <c r="K162" s="45">
        <f t="shared" si="123"/>
        <v>382.42500000000001</v>
      </c>
      <c r="L162" s="44">
        <f t="shared" si="123"/>
        <v>451.72899999999998</v>
      </c>
      <c r="M162" s="44">
        <f t="shared" si="123"/>
        <v>531.226</v>
      </c>
      <c r="N162" s="44">
        <f t="shared" si="123"/>
        <v>617.74300000000005</v>
      </c>
      <c r="O162" s="44">
        <f t="shared" si="123"/>
        <v>766.74400000000003</v>
      </c>
      <c r="P162" s="45">
        <f t="shared" si="123"/>
        <v>766.74400000000003</v>
      </c>
      <c r="Q162" s="44">
        <f t="shared" si="123"/>
        <v>912.06100000000004</v>
      </c>
      <c r="R162" s="44">
        <f t="shared" si="123"/>
        <v>1120.2460000000001</v>
      </c>
      <c r="S162" s="44">
        <f t="shared" si="123"/>
        <v>1360.7249999999999</v>
      </c>
      <c r="T162" s="44">
        <f t="shared" si="123"/>
        <v>1791.403</v>
      </c>
      <c r="U162" s="45">
        <f t="shared" si="123"/>
        <v>1791.403</v>
      </c>
      <c r="V162" s="44">
        <f t="shared" si="123"/>
        <v>2244.21</v>
      </c>
      <c r="W162" s="44">
        <f t="shared" si="123"/>
        <v>2533.7260000000001</v>
      </c>
      <c r="X162" s="44">
        <f t="shared" si="123"/>
        <v>2949.297</v>
      </c>
      <c r="Y162" s="44">
        <f t="shared" si="123"/>
        <v>3134.08</v>
      </c>
      <c r="Z162" s="45">
        <f t="shared" si="123"/>
        <v>3134.08</v>
      </c>
      <c r="AA162" s="44">
        <f t="shared" si="123"/>
        <v>3452.5949999999998</v>
      </c>
      <c r="AB162" s="44">
        <f t="shared" si="123"/>
        <v>3600.8209999999999</v>
      </c>
      <c r="AC162" s="44">
        <f t="shared" si="123"/>
        <v>3834.2339999999999</v>
      </c>
      <c r="AD162" s="44">
        <f t="shared" si="123"/>
        <v>4116.6040000000003</v>
      </c>
      <c r="AE162" s="45">
        <f t="shared" si="123"/>
        <v>4116.6040000000003</v>
      </c>
      <c r="AF162" s="44">
        <f t="shared" si="123"/>
        <v>2315.1239999999998</v>
      </c>
      <c r="AG162" s="44">
        <f t="shared" si="123"/>
        <v>2282.047</v>
      </c>
      <c r="AH162" s="44">
        <f t="shared" si="123"/>
        <v>2186.1370000000002</v>
      </c>
      <c r="AI162" s="44">
        <f t="shared" si="123"/>
        <v>2089.7579999999998</v>
      </c>
      <c r="AJ162" s="45">
        <f t="shared" si="123"/>
        <v>2089.7579999999998</v>
      </c>
      <c r="AK162" s="44">
        <f t="shared" si="123"/>
        <v>1972.502</v>
      </c>
      <c r="AL162" s="44">
        <f t="shared" si="123"/>
        <v>2069.54</v>
      </c>
      <c r="AM162" s="44">
        <f t="shared" si="123"/>
        <v>2253</v>
      </c>
      <c r="AN162" s="44">
        <f t="shared" si="123"/>
        <v>2447</v>
      </c>
      <c r="AO162" s="45">
        <f t="shared" si="123"/>
        <v>2447</v>
      </c>
      <c r="AP162" s="44">
        <f t="shared" si="123"/>
        <v>2527</v>
      </c>
      <c r="AQ162" s="44">
        <f t="shared" si="123"/>
        <v>2524</v>
      </c>
      <c r="AR162" s="44">
        <f t="shared" si="123"/>
        <v>2742</v>
      </c>
      <c r="AS162" s="44">
        <f t="shared" si="123"/>
        <v>3091</v>
      </c>
      <c r="AT162" s="45">
        <f t="shared" si="123"/>
        <v>3091</v>
      </c>
      <c r="AU162" s="44">
        <f t="shared" si="123"/>
        <v>3396</v>
      </c>
      <c r="AV162" s="44">
        <f t="shared" si="123"/>
        <v>3748</v>
      </c>
      <c r="AW162" s="729">
        <f t="shared" si="123"/>
        <v>4167</v>
      </c>
      <c r="AX162" s="44">
        <f t="shared" ref="AX162:BG162" si="124">SUM(AX160:AX161)</f>
        <v>5333.2185056000662</v>
      </c>
      <c r="AY162" s="45">
        <f t="shared" si="124"/>
        <v>5333.2185056000662</v>
      </c>
      <c r="AZ162" s="44">
        <f t="shared" si="124"/>
        <v>6922.7662400546478</v>
      </c>
      <c r="BA162" s="44">
        <f t="shared" si="124"/>
        <v>8521.3624551161665</v>
      </c>
      <c r="BB162" s="44">
        <f t="shared" si="124"/>
        <v>9326.8861247978566</v>
      </c>
      <c r="BC162" s="44">
        <f t="shared" si="124"/>
        <v>11926.006757493989</v>
      </c>
      <c r="BD162" s="45">
        <f t="shared" si="124"/>
        <v>11926.006757493989</v>
      </c>
      <c r="BE162" s="45">
        <f t="shared" si="124"/>
        <v>18028.804639644412</v>
      </c>
      <c r="BF162" s="45">
        <f t="shared" si="124"/>
        <v>24796.591989945242</v>
      </c>
      <c r="BG162" s="45">
        <f t="shared" si="124"/>
        <v>32501.663638431975</v>
      </c>
      <c r="BH162" s="368"/>
    </row>
    <row r="163" spans="1:60" s="824" customFormat="1" hidden="1" outlineLevel="1" x14ac:dyDescent="0.25">
      <c r="A163" s="827" t="s">
        <v>632</v>
      </c>
      <c r="B163" s="822"/>
      <c r="C163" s="1048"/>
      <c r="D163" s="1048"/>
      <c r="E163" s="1048"/>
      <c r="F163" s="1048"/>
      <c r="G163" s="1049"/>
      <c r="H163" s="1049"/>
      <c r="I163" s="1049"/>
      <c r="J163" s="1049"/>
      <c r="K163" s="1048"/>
      <c r="L163" s="1049"/>
      <c r="M163" s="1049"/>
      <c r="N163" s="1049"/>
      <c r="O163" s="1049"/>
      <c r="P163" s="1048"/>
      <c r="Q163" s="1049"/>
      <c r="R163" s="1049"/>
      <c r="S163" s="1049"/>
      <c r="T163" s="1049"/>
      <c r="U163" s="1048"/>
      <c r="V163" s="1049"/>
      <c r="W163" s="1049"/>
      <c r="X163" s="1049"/>
      <c r="Y163" s="1049"/>
      <c r="Z163" s="1048"/>
      <c r="AA163" s="1049"/>
      <c r="AB163" s="1049"/>
      <c r="AC163" s="1049"/>
      <c r="AD163" s="1049"/>
      <c r="AE163" s="1048"/>
      <c r="AF163" s="1049"/>
      <c r="AG163" s="1049"/>
      <c r="AH163" s="1049"/>
      <c r="AI163" s="1049"/>
      <c r="AJ163" s="1048"/>
      <c r="AK163" s="1049"/>
      <c r="AL163" s="1049"/>
      <c r="AM163" s="1049"/>
      <c r="AN163" s="1049"/>
      <c r="AO163" s="1048">
        <f t="shared" ref="AO163:AW163" si="125">AO160*1000/AO151</f>
        <v>57.173202941824812</v>
      </c>
      <c r="AP163" s="1049">
        <f t="shared" si="125"/>
        <v>55.286969280836736</v>
      </c>
      <c r="AQ163" s="1049">
        <f t="shared" si="125"/>
        <v>53.779416350263212</v>
      </c>
      <c r="AR163" s="1049">
        <f t="shared" si="125"/>
        <v>51.380641811869303</v>
      </c>
      <c r="AS163" s="1049">
        <f t="shared" si="125"/>
        <v>49.064351010556393</v>
      </c>
      <c r="AT163" s="1048">
        <f t="shared" si="125"/>
        <v>49.064351010556393</v>
      </c>
      <c r="AU163" s="1049">
        <f t="shared" si="125"/>
        <v>46.897581655265441</v>
      </c>
      <c r="AV163" s="1049">
        <f t="shared" si="125"/>
        <v>45.480725932286809</v>
      </c>
      <c r="AW163" s="1050">
        <f t="shared" si="125"/>
        <v>44.594830677565582</v>
      </c>
      <c r="AX163" s="1049">
        <f>AS163*(1+AX165)</f>
        <v>47.592420480239703</v>
      </c>
      <c r="AY163" s="1048">
        <f>AY160*1000/AY151</f>
        <v>47.592420480239703</v>
      </c>
      <c r="AZ163" s="1049">
        <f>AU163*(1+AZ165)</f>
        <v>52.056315637344646</v>
      </c>
      <c r="BA163" s="1049">
        <f>AV163*(1+BA165)</f>
        <v>54.576871118744172</v>
      </c>
      <c r="BB163" s="1049">
        <f>AW163*(1+BB165)</f>
        <v>51.730003585976071</v>
      </c>
      <c r="BC163" s="1049">
        <f>AX163*(1+BC165)</f>
        <v>56.159056166682845</v>
      </c>
      <c r="BD163" s="1048">
        <f>BD160*1000/BD151</f>
        <v>56.159056166682845</v>
      </c>
      <c r="BE163" s="1048">
        <f>BD163*(1+BE165)</f>
        <v>58.967008975016988</v>
      </c>
      <c r="BF163" s="1048">
        <f>BE163*(1+BF165)</f>
        <v>61.915359423767839</v>
      </c>
      <c r="BG163" s="1048">
        <f>BF163*(1+BG165)</f>
        <v>65.011127394956233</v>
      </c>
      <c r="BH163" s="823"/>
    </row>
    <row r="164" spans="1:60" s="824" customFormat="1" hidden="1" outlineLevel="2" x14ac:dyDescent="0.25">
      <c r="A164" s="827" t="s">
        <v>674</v>
      </c>
      <c r="B164" s="822"/>
      <c r="C164" s="1048"/>
      <c r="D164" s="1048"/>
      <c r="E164" s="1048"/>
      <c r="F164" s="1048"/>
      <c r="G164" s="1049"/>
      <c r="H164" s="1049"/>
      <c r="I164" s="1049"/>
      <c r="J164" s="1049"/>
      <c r="K164" s="1048"/>
      <c r="L164" s="1049"/>
      <c r="M164" s="1049"/>
      <c r="N164" s="1049"/>
      <c r="O164" s="1049"/>
      <c r="P164" s="1048"/>
      <c r="Q164" s="1049"/>
      <c r="R164" s="1049"/>
      <c r="S164" s="1049"/>
      <c r="T164" s="1049"/>
      <c r="U164" s="1048"/>
      <c r="V164" s="1049"/>
      <c r="W164" s="1049"/>
      <c r="X164" s="1049"/>
      <c r="Y164" s="1049"/>
      <c r="Z164" s="1048"/>
      <c r="AA164" s="1049"/>
      <c r="AB164" s="1049"/>
      <c r="AC164" s="1049"/>
      <c r="AD164" s="1049"/>
      <c r="AE164" s="1048"/>
      <c r="AF164" s="1049"/>
      <c r="AG164" s="1049"/>
      <c r="AH164" s="1049"/>
      <c r="AI164" s="1049"/>
      <c r="AJ164" s="1048"/>
      <c r="AK164" s="1049"/>
      <c r="AL164" s="1049"/>
      <c r="AM164" s="1049"/>
      <c r="AN164" s="1049"/>
      <c r="AO164" s="1048">
        <f t="shared" ref="AO164:BG164" si="126">AO163-AO113</f>
        <v>0.60675533694252692</v>
      </c>
      <c r="AP164" s="1049">
        <f t="shared" si="126"/>
        <v>0.19666925170769645</v>
      </c>
      <c r="AQ164" s="1049">
        <f t="shared" si="126"/>
        <v>1.7573681924448223</v>
      </c>
      <c r="AR164" s="1049">
        <f t="shared" si="126"/>
        <v>-2.2468749925511631</v>
      </c>
      <c r="AS164" s="1049">
        <f t="shared" si="126"/>
        <v>-2.620665543256969</v>
      </c>
      <c r="AT164" s="1048">
        <f t="shared" si="126"/>
        <v>-3.8273439786627605</v>
      </c>
      <c r="AU164" s="1049">
        <f t="shared" si="126"/>
        <v>-0.90273946573879016</v>
      </c>
      <c r="AV164" s="1049">
        <f t="shared" si="126"/>
        <v>-5.4795978156522978</v>
      </c>
      <c r="AW164" s="1050">
        <f t="shared" si="126"/>
        <v>-6.100883792494443</v>
      </c>
      <c r="AX164" s="1049">
        <f t="shared" si="126"/>
        <v>-1.5083452458829925</v>
      </c>
      <c r="AY164" s="1048">
        <f t="shared" si="126"/>
        <v>-2.0647954674431048</v>
      </c>
      <c r="AZ164" s="1049">
        <f t="shared" si="126"/>
        <v>-3.3920568630202581</v>
      </c>
      <c r="BA164" s="1049">
        <f t="shared" si="126"/>
        <v>-1.4794850039888487</v>
      </c>
      <c r="BB164" s="1049">
        <f t="shared" si="126"/>
        <v>-6.5700680545929515</v>
      </c>
      <c r="BC164" s="1049">
        <f t="shared" si="126"/>
        <v>-0.79783207561947478</v>
      </c>
      <c r="BD164" s="1048">
        <f t="shared" si="126"/>
        <v>-0.64407446110140398</v>
      </c>
      <c r="BE164" s="1048">
        <f t="shared" si="126"/>
        <v>-0.67627818415647312</v>
      </c>
      <c r="BF164" s="1048">
        <f t="shared" si="126"/>
        <v>-0.71009209336429535</v>
      </c>
      <c r="BG164" s="1048">
        <f t="shared" si="126"/>
        <v>-0.74559669803251438</v>
      </c>
      <c r="BH164" s="823"/>
    </row>
    <row r="165" spans="1:60" s="574" customFormat="1" hidden="1" outlineLevel="1" x14ac:dyDescent="0.25">
      <c r="A165" s="658" t="s">
        <v>801</v>
      </c>
      <c r="B165" s="237"/>
      <c r="C165" s="191"/>
      <c r="D165" s="191"/>
      <c r="E165" s="191"/>
      <c r="F165" s="191"/>
      <c r="G165" s="1004"/>
      <c r="H165" s="1004"/>
      <c r="I165" s="1004"/>
      <c r="J165" s="1004"/>
      <c r="K165" s="191"/>
      <c r="L165" s="1004"/>
      <c r="M165" s="1004"/>
      <c r="N165" s="1004"/>
      <c r="O165" s="1004"/>
      <c r="P165" s="191"/>
      <c r="Q165" s="1004"/>
      <c r="R165" s="1004"/>
      <c r="S165" s="1004"/>
      <c r="T165" s="1004"/>
      <c r="U165" s="191"/>
      <c r="V165" s="1004"/>
      <c r="W165" s="1004"/>
      <c r="X165" s="1004"/>
      <c r="Y165" s="1004"/>
      <c r="Z165" s="191"/>
      <c r="AA165" s="1004"/>
      <c r="AB165" s="1004"/>
      <c r="AC165" s="1004"/>
      <c r="AD165" s="1004"/>
      <c r="AE165" s="191"/>
      <c r="AF165" s="1004"/>
      <c r="AG165" s="1004"/>
      <c r="AH165" s="1004"/>
      <c r="AI165" s="1004"/>
      <c r="AJ165" s="191"/>
      <c r="AK165" s="1004"/>
      <c r="AL165" s="1004"/>
      <c r="AM165" s="1004"/>
      <c r="AN165" s="1004"/>
      <c r="AO165" s="191"/>
      <c r="AP165" s="1004"/>
      <c r="AQ165" s="1004"/>
      <c r="AR165" s="1004"/>
      <c r="AS165" s="1004"/>
      <c r="AT165" s="191">
        <f>AT163/AO163-1</f>
        <v>-0.14182958998325457</v>
      </c>
      <c r="AU165" s="1004">
        <f>AU163/AP163-1</f>
        <v>-0.15174258482060032</v>
      </c>
      <c r="AV165" s="1004">
        <f>AV163/AQ163-1</f>
        <v>-0.15430978952853192</v>
      </c>
      <c r="AW165" s="820">
        <f>AW163/AR163-1</f>
        <v>-0.13206941165020925</v>
      </c>
      <c r="AX165" s="620">
        <v>-0.03</v>
      </c>
      <c r="AY165" s="191">
        <f>AY163/AT163-1</f>
        <v>-3.0000000000000027E-2</v>
      </c>
      <c r="AZ165" s="620">
        <v>0.11</v>
      </c>
      <c r="BA165" s="620">
        <v>0.2</v>
      </c>
      <c r="BB165" s="620">
        <v>0.16</v>
      </c>
      <c r="BC165" s="620">
        <v>0.18</v>
      </c>
      <c r="BD165" s="191">
        <f>BD163/AY163-1</f>
        <v>0.17999999999999994</v>
      </c>
      <c r="BE165" s="1012">
        <v>0.05</v>
      </c>
      <c r="BF165" s="1012">
        <v>0.05</v>
      </c>
      <c r="BG165" s="1012">
        <v>0.05</v>
      </c>
      <c r="BH165" s="572"/>
    </row>
    <row r="166" spans="1:60" s="574" customFormat="1" hidden="1" outlineLevel="1" x14ac:dyDescent="0.25">
      <c r="A166" s="658"/>
      <c r="B166" s="237"/>
      <c r="C166" s="191"/>
      <c r="D166" s="191"/>
      <c r="E166" s="191"/>
      <c r="F166" s="191"/>
      <c r="G166" s="1004"/>
      <c r="H166" s="1004"/>
      <c r="I166" s="1004"/>
      <c r="J166" s="1004"/>
      <c r="K166" s="191"/>
      <c r="L166" s="1004"/>
      <c r="M166" s="1004"/>
      <c r="N166" s="1004"/>
      <c r="O166" s="1004"/>
      <c r="P166" s="191"/>
      <c r="Q166" s="1004"/>
      <c r="R166" s="1004"/>
      <c r="S166" s="1004"/>
      <c r="T166" s="1004"/>
      <c r="U166" s="191"/>
      <c r="V166" s="1004"/>
      <c r="W166" s="1004"/>
      <c r="X166" s="1004"/>
      <c r="Y166" s="1004"/>
      <c r="Z166" s="191"/>
      <c r="AA166" s="1004"/>
      <c r="AB166" s="1004"/>
      <c r="AC166" s="1004"/>
      <c r="AD166" s="1004"/>
      <c r="AE166" s="191"/>
      <c r="AF166" s="1004"/>
      <c r="AG166" s="1004"/>
      <c r="AH166" s="1004"/>
      <c r="AI166" s="1004"/>
      <c r="AJ166" s="191"/>
      <c r="AK166" s="1004"/>
      <c r="AL166" s="1004"/>
      <c r="AM166" s="1004"/>
      <c r="AN166" s="1004"/>
      <c r="AO166" s="191"/>
      <c r="AP166" s="1004"/>
      <c r="AQ166" s="1004"/>
      <c r="AR166" s="1004"/>
      <c r="AS166" s="1004"/>
      <c r="AT166" s="191"/>
      <c r="AU166" s="1004"/>
      <c r="AV166" s="1004"/>
      <c r="AW166" s="820"/>
      <c r="AX166" s="1004"/>
      <c r="AY166" s="191"/>
      <c r="AZ166" s="1004"/>
      <c r="BA166" s="1004"/>
      <c r="BB166" s="1004"/>
      <c r="BC166" s="1004"/>
      <c r="BD166" s="191"/>
      <c r="BE166" s="191"/>
      <c r="BF166" s="191"/>
      <c r="BG166" s="191"/>
      <c r="BH166" s="572"/>
    </row>
    <row r="167" spans="1:60" s="116" customFormat="1" hidden="1" outlineLevel="1" x14ac:dyDescent="0.25">
      <c r="A167" s="645" t="s">
        <v>621</v>
      </c>
      <c r="B167" s="531"/>
      <c r="C167" s="438"/>
      <c r="D167" s="438"/>
      <c r="E167" s="438"/>
      <c r="F167" s="438"/>
      <c r="G167" s="437"/>
      <c r="H167" s="437"/>
      <c r="I167" s="437"/>
      <c r="J167" s="437"/>
      <c r="K167" s="438"/>
      <c r="L167" s="437"/>
      <c r="M167" s="437"/>
      <c r="N167" s="437"/>
      <c r="O167" s="437"/>
      <c r="P167" s="438"/>
      <c r="Q167" s="437"/>
      <c r="R167" s="437"/>
      <c r="S167" s="437"/>
      <c r="T167" s="437"/>
      <c r="U167" s="438"/>
      <c r="V167" s="437"/>
      <c r="W167" s="437"/>
      <c r="X167" s="437">
        <f t="shared" ref="X167:AW167" si="127">X225</f>
        <v>231.285</v>
      </c>
      <c r="Y167" s="437">
        <f t="shared" si="127"/>
        <v>254.67400000000001</v>
      </c>
      <c r="Z167" s="438">
        <f t="shared" si="127"/>
        <v>761.75900000000001</v>
      </c>
      <c r="AA167" s="437">
        <f t="shared" si="127"/>
        <v>254.54</v>
      </c>
      <c r="AB167" s="437">
        <f t="shared" si="127"/>
        <v>272.76400000000001</v>
      </c>
      <c r="AC167" s="437">
        <f t="shared" si="127"/>
        <v>286.15800000000002</v>
      </c>
      <c r="AD167" s="437">
        <f t="shared" si="127"/>
        <v>293.08600000000001</v>
      </c>
      <c r="AE167" s="438">
        <f t="shared" si="127"/>
        <v>1106.548</v>
      </c>
      <c r="AF167" s="437">
        <f t="shared" si="127"/>
        <v>173.43600000000001</v>
      </c>
      <c r="AG167" s="437">
        <f t="shared" si="127"/>
        <v>239.816</v>
      </c>
      <c r="AH167" s="437">
        <f t="shared" si="127"/>
        <v>220.46100000000001</v>
      </c>
      <c r="AI167" s="437">
        <f t="shared" si="127"/>
        <v>249.74800000000005</v>
      </c>
      <c r="AJ167" s="438">
        <f t="shared" si="127"/>
        <v>883.46100000000001</v>
      </c>
      <c r="AK167" s="437">
        <f t="shared" si="127"/>
        <v>215.12</v>
      </c>
      <c r="AL167" s="437">
        <f t="shared" si="127"/>
        <v>208.36199999999999</v>
      </c>
      <c r="AM167" s="437">
        <f t="shared" si="127"/>
        <v>221</v>
      </c>
      <c r="AN167" s="437">
        <f t="shared" si="127"/>
        <v>224.51800000000003</v>
      </c>
      <c r="AO167" s="438">
        <f t="shared" si="127"/>
        <v>869</v>
      </c>
      <c r="AP167" s="437">
        <f t="shared" si="127"/>
        <v>239</v>
      </c>
      <c r="AQ167" s="437">
        <f t="shared" si="127"/>
        <v>268</v>
      </c>
      <c r="AR167" s="437">
        <f t="shared" si="127"/>
        <v>265</v>
      </c>
      <c r="AS167" s="437">
        <f t="shared" si="127"/>
        <v>280</v>
      </c>
      <c r="AT167" s="438">
        <f t="shared" si="127"/>
        <v>1052</v>
      </c>
      <c r="AU167" s="437">
        <f t="shared" si="127"/>
        <v>297</v>
      </c>
      <c r="AV167" s="437">
        <f t="shared" si="127"/>
        <v>332</v>
      </c>
      <c r="AW167" s="725">
        <f t="shared" si="127"/>
        <v>385</v>
      </c>
      <c r="AX167" s="437">
        <f>AX154*AX157/1000</f>
        <v>449.31916118045035</v>
      </c>
      <c r="AY167" s="438">
        <f>SUM(AU167,AV167,AW167,AX167)</f>
        <v>1463.3191611804505</v>
      </c>
      <c r="AZ167" s="437">
        <f>AZ154*AZ157/1000</f>
        <v>515.3330739167219</v>
      </c>
      <c r="BA167" s="437">
        <f>BA154*BA157/1000</f>
        <v>591.67387694269951</v>
      </c>
      <c r="BB167" s="437">
        <f>BB154*BB157/1000</f>
        <v>706.46385283217262</v>
      </c>
      <c r="BC167" s="437">
        <f>BC154*BC157/1000</f>
        <v>829.84534121518948</v>
      </c>
      <c r="BD167" s="438">
        <f>SUM(AZ167,BA167,BB167,BC167)</f>
        <v>2643.3161449067834</v>
      </c>
      <c r="BE167" s="438">
        <f>BE154*BE157/1000</f>
        <v>4346.2056744458559</v>
      </c>
      <c r="BF167" s="438">
        <f>BF154*BF157/1000</f>
        <v>6031.5800219327875</v>
      </c>
      <c r="BG167" s="438">
        <f>BG154*BG157/1000</f>
        <v>7791.0622713962084</v>
      </c>
      <c r="BH167" s="368"/>
    </row>
    <row r="168" spans="1:60" s="574" customFormat="1" hidden="1" outlineLevel="1" x14ac:dyDescent="0.25">
      <c r="A168" s="372" t="s">
        <v>735</v>
      </c>
      <c r="B168" s="641"/>
      <c r="C168" s="191"/>
      <c r="D168" s="191"/>
      <c r="E168" s="191"/>
      <c r="F168" s="191"/>
      <c r="G168" s="1004"/>
      <c r="H168" s="1004"/>
      <c r="I168" s="1004"/>
      <c r="J168" s="1004"/>
      <c r="K168" s="191"/>
      <c r="L168" s="1004"/>
      <c r="M168" s="1004"/>
      <c r="N168" s="1004"/>
      <c r="O168" s="1004"/>
      <c r="P168" s="191"/>
      <c r="Q168" s="1004"/>
      <c r="R168" s="1004"/>
      <c r="S168" s="1004"/>
      <c r="T168" s="1004"/>
      <c r="U168" s="191"/>
      <c r="V168" s="1004"/>
      <c r="W168" s="1004"/>
      <c r="X168" s="1004"/>
      <c r="Y168" s="572">
        <f>Y167/X167-1</f>
        <v>0.10112631601703526</v>
      </c>
      <c r="Z168" s="191"/>
      <c r="AA168" s="572">
        <f>AA167/Y167-1</f>
        <v>-5.2616285918472006E-4</v>
      </c>
      <c r="AB168" s="573">
        <f>AB167/AA167-1</f>
        <v>7.1595819910426739E-2</v>
      </c>
      <c r="AC168" s="573">
        <f>AC167/AB167-1</f>
        <v>4.9104720564297377E-2</v>
      </c>
      <c r="AD168" s="572">
        <f>AD167/AC167-1</f>
        <v>2.4210401246863578E-2</v>
      </c>
      <c r="AE168" s="191"/>
      <c r="AF168" s="572">
        <f>AF167/AD167-1</f>
        <v>-0.40824194946193271</v>
      </c>
      <c r="AG168" s="573">
        <f>AG167/AF167-1</f>
        <v>0.3827348416707026</v>
      </c>
      <c r="AH168" s="573">
        <f>AH167/AG167-1</f>
        <v>-8.0707709243753478E-2</v>
      </c>
      <c r="AI168" s="572">
        <f>AI167/AH167-1</f>
        <v>0.13284435795900418</v>
      </c>
      <c r="AJ168" s="191"/>
      <c r="AK168" s="572">
        <f>AK167/AI167-1</f>
        <v>-0.13865176097506304</v>
      </c>
      <c r="AL168" s="573">
        <f>AL167/AK167-1</f>
        <v>-3.1415024172554928E-2</v>
      </c>
      <c r="AM168" s="573">
        <f>AM167/AL167-1</f>
        <v>6.0654054002169389E-2</v>
      </c>
      <c r="AN168" s="572">
        <f>AN167/AM167-1</f>
        <v>1.5918552036199296E-2</v>
      </c>
      <c r="AO168" s="191"/>
      <c r="AP168" s="572">
        <f>AP167/AN167-1</f>
        <v>6.4502623397678427E-2</v>
      </c>
      <c r="AQ168" s="573">
        <f>AQ167/AP167-1</f>
        <v>0.12133891213389125</v>
      </c>
      <c r="AR168" s="573">
        <f>AR167/AQ167-1</f>
        <v>-1.1194029850746245E-2</v>
      </c>
      <c r="AS168" s="572">
        <f>AS167/AR167-1</f>
        <v>5.6603773584905648E-2</v>
      </c>
      <c r="AT168" s="191"/>
      <c r="AU168" s="572">
        <f>AU167/AS167-1</f>
        <v>6.0714285714285721E-2</v>
      </c>
      <c r="AV168" s="573">
        <f>AV167/AU167-1</f>
        <v>0.11784511784511786</v>
      </c>
      <c r="AW168" s="844">
        <f>AW167/AV167-1</f>
        <v>0.15963855421686746</v>
      </c>
      <c r="AX168" s="1004">
        <f>AX167/AW167-1</f>
        <v>0.16706275631285816</v>
      </c>
      <c r="AY168" s="191"/>
      <c r="AZ168" s="1004">
        <f>AZ167/AX167-1</f>
        <v>0.14691986997135831</v>
      </c>
      <c r="BA168" s="1004">
        <f>BA167/AZ167-1</f>
        <v>0.14813876091002509</v>
      </c>
      <c r="BB168" s="1004">
        <f>BB167/BA167-1</f>
        <v>0.19400886258933125</v>
      </c>
      <c r="BC168" s="1004">
        <f>BC167/BB167-1</f>
        <v>0.174646569514332</v>
      </c>
      <c r="BD168" s="191"/>
      <c r="BE168" s="191"/>
      <c r="BF168" s="191"/>
      <c r="BG168" s="191"/>
      <c r="BH168" s="572"/>
    </row>
    <row r="169" spans="1:60" s="574" customFormat="1" hidden="1" outlineLevel="1" x14ac:dyDescent="0.25">
      <c r="A169" s="372" t="s">
        <v>736</v>
      </c>
      <c r="B169" s="641"/>
      <c r="C169" s="191"/>
      <c r="D169" s="191"/>
      <c r="E169" s="191"/>
      <c r="F169" s="191"/>
      <c r="G169" s="1004"/>
      <c r="H169" s="1004"/>
      <c r="I169" s="1004"/>
      <c r="J169" s="1004"/>
      <c r="K169" s="191"/>
      <c r="L169" s="1004"/>
      <c r="M169" s="1004"/>
      <c r="N169" s="1004"/>
      <c r="O169" s="1004"/>
      <c r="P169" s="191"/>
      <c r="Q169" s="1004"/>
      <c r="R169" s="1004"/>
      <c r="S169" s="1004"/>
      <c r="T169" s="1004"/>
      <c r="U169" s="191"/>
      <c r="V169" s="1004"/>
      <c r="W169" s="1004"/>
      <c r="X169" s="1004"/>
      <c r="Y169" s="1004"/>
      <c r="Z169" s="191"/>
      <c r="AA169" s="1004"/>
      <c r="AB169" s="1004"/>
      <c r="AC169" s="573">
        <f t="shared" ref="AC169:BD169" si="128">AC167/X167-1</f>
        <v>0.23725274012581887</v>
      </c>
      <c r="AD169" s="572">
        <f t="shared" si="128"/>
        <v>0.15082811751494063</v>
      </c>
      <c r="AE169" s="571">
        <f t="shared" si="128"/>
        <v>0.45262215477598566</v>
      </c>
      <c r="AF169" s="572">
        <f t="shared" si="128"/>
        <v>-0.31862968492181976</v>
      </c>
      <c r="AG169" s="573">
        <f t="shared" si="128"/>
        <v>-0.12079306653370681</v>
      </c>
      <c r="AH169" s="573">
        <f t="shared" si="128"/>
        <v>-0.22958295766674353</v>
      </c>
      <c r="AI169" s="572">
        <f t="shared" si="128"/>
        <v>-0.14786786131033203</v>
      </c>
      <c r="AJ169" s="571">
        <f t="shared" si="128"/>
        <v>-0.20160625657450015</v>
      </c>
      <c r="AK169" s="572">
        <f t="shared" si="128"/>
        <v>0.24034225881593207</v>
      </c>
      <c r="AL169" s="573">
        <f t="shared" si="128"/>
        <v>-0.13115888848116897</v>
      </c>
      <c r="AM169" s="573">
        <f t="shared" si="128"/>
        <v>2.4448768716460734E-3</v>
      </c>
      <c r="AN169" s="572">
        <f t="shared" si="128"/>
        <v>-0.10102183000464471</v>
      </c>
      <c r="AO169" s="571">
        <f t="shared" si="128"/>
        <v>-1.636857767349098E-2</v>
      </c>
      <c r="AP169" s="572">
        <f t="shared" si="128"/>
        <v>0.11100780959464474</v>
      </c>
      <c r="AQ169" s="573">
        <f t="shared" si="128"/>
        <v>0.28622301571303788</v>
      </c>
      <c r="AR169" s="573">
        <f t="shared" si="128"/>
        <v>0.19909502262443435</v>
      </c>
      <c r="AS169" s="572">
        <f t="shared" si="128"/>
        <v>0.24711604414790789</v>
      </c>
      <c r="AT169" s="571">
        <f t="shared" si="128"/>
        <v>0.21058688147295745</v>
      </c>
      <c r="AU169" s="572">
        <f t="shared" si="128"/>
        <v>0.2426778242677825</v>
      </c>
      <c r="AV169" s="573">
        <f t="shared" si="128"/>
        <v>0.23880597014925375</v>
      </c>
      <c r="AW169" s="844">
        <f t="shared" si="128"/>
        <v>0.45283018867924518</v>
      </c>
      <c r="AX169" s="1004">
        <f t="shared" si="128"/>
        <v>0.60471128993017986</v>
      </c>
      <c r="AY169" s="191">
        <f t="shared" si="128"/>
        <v>0.39098779579890719</v>
      </c>
      <c r="AZ169" s="1004">
        <f t="shared" si="128"/>
        <v>0.73512819500579774</v>
      </c>
      <c r="BA169" s="1004">
        <f t="shared" si="128"/>
        <v>0.782150231755119</v>
      </c>
      <c r="BB169" s="1004">
        <f t="shared" si="128"/>
        <v>0.83497104631733143</v>
      </c>
      <c r="BC169" s="1004">
        <f t="shared" si="128"/>
        <v>0.84689506460178898</v>
      </c>
      <c r="BD169" s="191">
        <f t="shared" si="128"/>
        <v>0.80638388058449029</v>
      </c>
      <c r="BE169" s="191">
        <f>BE167/BD167-1</f>
        <v>0.64422469208620714</v>
      </c>
      <c r="BF169" s="191">
        <f>BF167/BE167-1</f>
        <v>0.38778062377405043</v>
      </c>
      <c r="BG169" s="191">
        <f>BG167/BF167-1</f>
        <v>0.29171166478192623</v>
      </c>
      <c r="BH169" s="572"/>
    </row>
    <row r="170" spans="1:60" s="574" customFormat="1" ht="7.5" hidden="1" customHeight="1" outlineLevel="1" x14ac:dyDescent="0.25">
      <c r="A170" s="245"/>
      <c r="B170" s="641"/>
      <c r="C170" s="191"/>
      <c r="D170" s="191"/>
      <c r="E170" s="191"/>
      <c r="F170" s="191"/>
      <c r="G170" s="1004"/>
      <c r="H170" s="1004"/>
      <c r="I170" s="1004"/>
      <c r="J170" s="1004"/>
      <c r="K170" s="191"/>
      <c r="L170" s="1004"/>
      <c r="M170" s="1004"/>
      <c r="N170" s="1004"/>
      <c r="O170" s="1004"/>
      <c r="P170" s="191"/>
      <c r="Q170" s="1004"/>
      <c r="R170" s="1004"/>
      <c r="S170" s="1004"/>
      <c r="T170" s="1004"/>
      <c r="U170" s="191"/>
      <c r="V170" s="1004"/>
      <c r="W170" s="1004"/>
      <c r="X170" s="1004"/>
      <c r="Y170" s="1004"/>
      <c r="Z170" s="191"/>
      <c r="AA170" s="1004"/>
      <c r="AB170" s="1004"/>
      <c r="AC170" s="1004"/>
      <c r="AD170" s="1004"/>
      <c r="AE170" s="191"/>
      <c r="AF170" s="1004"/>
      <c r="AG170" s="1004"/>
      <c r="AH170" s="1004"/>
      <c r="AI170" s="1004"/>
      <c r="AJ170" s="191"/>
      <c r="AK170" s="1004"/>
      <c r="AL170" s="1004"/>
      <c r="AM170" s="1004"/>
      <c r="AN170" s="1004"/>
      <c r="AO170" s="191"/>
      <c r="AP170" s="1004"/>
      <c r="AQ170" s="1004"/>
      <c r="AR170" s="1004"/>
      <c r="AS170" s="1004"/>
      <c r="AT170" s="191"/>
      <c r="AU170" s="1004"/>
      <c r="AV170" s="1004"/>
      <c r="AW170" s="820"/>
      <c r="AX170" s="1004"/>
      <c r="AY170" s="191"/>
      <c r="AZ170" s="1004"/>
      <c r="BA170" s="1004"/>
      <c r="BB170" s="1004"/>
      <c r="BC170" s="1004"/>
      <c r="BD170" s="191"/>
      <c r="BE170" s="191"/>
      <c r="BF170" s="191"/>
      <c r="BG170" s="191"/>
      <c r="BH170" s="572"/>
    </row>
    <row r="171" spans="1:60" s="120" customFormat="1" hidden="1" outlineLevel="1" x14ac:dyDescent="0.25">
      <c r="A171" s="894" t="s">
        <v>753</v>
      </c>
      <c r="B171" s="215"/>
      <c r="C171" s="100"/>
      <c r="D171" s="100"/>
      <c r="E171" s="100"/>
      <c r="F171" s="100"/>
      <c r="G171" s="1005"/>
      <c r="H171" s="1005"/>
      <c r="I171" s="1005"/>
      <c r="J171" s="1005"/>
      <c r="K171" s="100"/>
      <c r="L171" s="1005"/>
      <c r="M171" s="1005"/>
      <c r="N171" s="1005"/>
      <c r="O171" s="1005"/>
      <c r="P171" s="100"/>
      <c r="Q171" s="1005"/>
      <c r="R171" s="1005"/>
      <c r="S171" s="1005"/>
      <c r="T171" s="1005"/>
      <c r="U171" s="100"/>
      <c r="V171" s="1005"/>
      <c r="W171" s="1005"/>
      <c r="X171" s="1005"/>
      <c r="Y171" s="1005"/>
      <c r="Z171" s="100"/>
      <c r="AA171" s="1005"/>
      <c r="AB171" s="1005"/>
      <c r="AC171" s="1005"/>
      <c r="AD171" s="1005"/>
      <c r="AE171" s="100"/>
      <c r="AF171" s="1005"/>
      <c r="AG171" s="1005"/>
      <c r="AH171" s="1005"/>
      <c r="AI171" s="1005"/>
      <c r="AJ171" s="100"/>
      <c r="AK171" s="1005"/>
      <c r="AL171" s="1005"/>
      <c r="AM171" s="1005"/>
      <c r="AN171" s="1005"/>
      <c r="AO171" s="100"/>
      <c r="AP171" s="1005">
        <f>AP173/AP160*AT3/AP3</f>
        <v>8.2109112391521369E-3</v>
      </c>
      <c r="AQ171" s="1005">
        <f>AQ173/AQ160*AT3/AQ3</f>
        <v>-5.4870095797790201E-3</v>
      </c>
      <c r="AR171" s="1005">
        <f>AR173/AR160*AT3/AR3</f>
        <v>2.1354731538556583E-2</v>
      </c>
      <c r="AS171" s="1005">
        <f>AS173/AS160*AT3/AS3</f>
        <v>2.3619869454585683E-2</v>
      </c>
      <c r="AT171" s="100">
        <f>AT173/AT160</f>
        <v>1.1309018942606729E-2</v>
      </c>
      <c r="AU171" s="1005">
        <f>AU173/AU160*AY3/AU3</f>
        <v>5.4157393140443981E-2</v>
      </c>
      <c r="AV171" s="1005">
        <f>AV173/AV160*AY3/AV3</f>
        <v>8.9584603745322136E-2</v>
      </c>
      <c r="AW171" s="727">
        <f>AW173/AW160*AY3/AW3</f>
        <v>7.1985656656207972E-2</v>
      </c>
      <c r="AX171" s="99">
        <v>0.1</v>
      </c>
      <c r="AY171" s="100">
        <f>AY173/AY160</f>
        <v>6.360606300047765E-2</v>
      </c>
      <c r="AZ171" s="99">
        <v>0.12</v>
      </c>
      <c r="BA171" s="99">
        <v>0.12</v>
      </c>
      <c r="BB171" s="99">
        <v>0.12</v>
      </c>
      <c r="BC171" s="99">
        <v>0.12</v>
      </c>
      <c r="BD171" s="100">
        <f>BD173/BD160</f>
        <v>9.187775021662542E-2</v>
      </c>
      <c r="BE171" s="1011">
        <v>0.12</v>
      </c>
      <c r="BF171" s="1011">
        <v>0.12</v>
      </c>
      <c r="BG171" s="1011">
        <v>0.12</v>
      </c>
      <c r="BH171" s="366"/>
    </row>
    <row r="172" spans="1:60" s="120" customFormat="1" hidden="1" outlineLevel="1" x14ac:dyDescent="0.25">
      <c r="A172" s="984"/>
      <c r="B172" s="215"/>
      <c r="C172" s="100"/>
      <c r="D172" s="100"/>
      <c r="E172" s="100"/>
      <c r="F172" s="100"/>
      <c r="G172" s="1005"/>
      <c r="H172" s="1005"/>
      <c r="I172" s="1005"/>
      <c r="J172" s="1005"/>
      <c r="K172" s="100"/>
      <c r="L172" s="1005"/>
      <c r="M172" s="1005"/>
      <c r="N172" s="1005"/>
      <c r="O172" s="1005"/>
      <c r="P172" s="100"/>
      <c r="Q172" s="1005"/>
      <c r="R172" s="1005"/>
      <c r="S172" s="1005"/>
      <c r="T172" s="1005"/>
      <c r="U172" s="100"/>
      <c r="V172" s="1005"/>
      <c r="W172" s="1005"/>
      <c r="X172" s="1005"/>
      <c r="Y172" s="1005"/>
      <c r="Z172" s="100"/>
      <c r="AA172" s="1005"/>
      <c r="AB172" s="1005"/>
      <c r="AC172" s="1005"/>
      <c r="AD172" s="1005"/>
      <c r="AE172" s="100"/>
      <c r="AF172" s="1005"/>
      <c r="AG172" s="1005"/>
      <c r="AH172" s="1005"/>
      <c r="AI172" s="1005"/>
      <c r="AJ172" s="100"/>
      <c r="AK172" s="1005"/>
      <c r="AL172" s="1005"/>
      <c r="AM172" s="1005"/>
      <c r="AN172" s="1005"/>
      <c r="AO172" s="100"/>
      <c r="AP172" s="1005"/>
      <c r="AQ172" s="1005"/>
      <c r="AR172" s="1005"/>
      <c r="AS172" s="1005"/>
      <c r="AT172" s="100"/>
      <c r="AU172" s="1005"/>
      <c r="AV172" s="1005"/>
      <c r="AW172" s="727"/>
      <c r="AX172" s="1005"/>
      <c r="AY172" s="100"/>
      <c r="AZ172" s="1005"/>
      <c r="BA172" s="1005"/>
      <c r="BB172" s="1005"/>
      <c r="BC172" s="1005"/>
      <c r="BD172" s="100"/>
      <c r="BE172" s="100"/>
      <c r="BF172" s="100"/>
      <c r="BG172" s="100"/>
      <c r="BH172" s="366"/>
    </row>
    <row r="173" spans="1:60" s="356" customFormat="1" hidden="1" outlineLevel="1" x14ac:dyDescent="0.25">
      <c r="A173" s="778" t="s">
        <v>622</v>
      </c>
      <c r="B173" s="450"/>
      <c r="C173" s="440"/>
      <c r="D173" s="440"/>
      <c r="E173" s="440"/>
      <c r="F173" s="440"/>
      <c r="G173" s="439"/>
      <c r="H173" s="439"/>
      <c r="I173" s="439"/>
      <c r="J173" s="439"/>
      <c r="K173" s="440"/>
      <c r="L173" s="439"/>
      <c r="M173" s="439"/>
      <c r="N173" s="439"/>
      <c r="O173" s="439"/>
      <c r="P173" s="440"/>
      <c r="Q173" s="439"/>
      <c r="R173" s="439"/>
      <c r="S173" s="439"/>
      <c r="T173" s="439"/>
      <c r="U173" s="440"/>
      <c r="V173" s="439"/>
      <c r="W173" s="439"/>
      <c r="X173" s="439"/>
      <c r="Y173" s="439"/>
      <c r="Z173" s="440"/>
      <c r="AA173" s="439"/>
      <c r="AB173" s="439"/>
      <c r="AC173" s="439"/>
      <c r="AD173" s="439"/>
      <c r="AE173" s="440"/>
      <c r="AF173" s="439"/>
      <c r="AG173" s="439"/>
      <c r="AH173" s="439"/>
      <c r="AI173" s="439"/>
      <c r="AJ173" s="440"/>
      <c r="AK173" s="439"/>
      <c r="AL173" s="439"/>
      <c r="AM173" s="439"/>
      <c r="AN173" s="439"/>
      <c r="AO173" s="440"/>
      <c r="AP173" s="439">
        <f>AO161-AP161</f>
        <v>6</v>
      </c>
      <c r="AQ173" s="439">
        <f>AP161-AQ161</f>
        <v>-4</v>
      </c>
      <c r="AR173" s="439">
        <f>AQ161-AR161</f>
        <v>17</v>
      </c>
      <c r="AS173" s="439">
        <f>AR161-AS161</f>
        <v>21</v>
      </c>
      <c r="AT173" s="440">
        <f>AO161-AT161</f>
        <v>40</v>
      </c>
      <c r="AU173" s="439">
        <f>AT161-AU161</f>
        <v>52</v>
      </c>
      <c r="AV173" s="439">
        <f>AU161-AV161</f>
        <v>97</v>
      </c>
      <c r="AW173" s="726">
        <f>AV161-AW161</f>
        <v>88</v>
      </c>
      <c r="AX173" s="439">
        <f>AX171*AX160*AX3/AY3</f>
        <v>155.56270447307648</v>
      </c>
      <c r="AY173" s="440">
        <f>SUM(AU173,AV173,AW173,AX173)</f>
        <v>392.56270447307645</v>
      </c>
      <c r="AZ173" s="439">
        <f>AZ171*AZ160*AZ3/BD3</f>
        <v>236.65260474562234</v>
      </c>
      <c r="BA173" s="439">
        <f>BA171*BA160*BA3/BD3</f>
        <v>295.96314162487778</v>
      </c>
      <c r="BB173" s="439">
        <f>BB171*BB160*BB3/BD3</f>
        <v>333.67225933744334</v>
      </c>
      <c r="BC173" s="439">
        <f>BC171*BC160*BC3/BD3</f>
        <v>425.14596689776278</v>
      </c>
      <c r="BD173" s="440">
        <f>SUM(AZ173,BA173,BB173,BC173)</f>
        <v>1291.4339726057062</v>
      </c>
      <c r="BE173" s="440">
        <f>BE171*BE160</f>
        <v>2748.9274522804353</v>
      </c>
      <c r="BF173" s="440">
        <f>BF171*BF160</f>
        <v>4046.6612889960625</v>
      </c>
      <c r="BG173" s="440">
        <f>BG171*BG160</f>
        <v>5649.1703259255346</v>
      </c>
      <c r="BH173" s="361"/>
    </row>
    <row r="174" spans="1:60" s="356" customFormat="1" hidden="1" outlineLevel="1" x14ac:dyDescent="0.25">
      <c r="A174" s="778" t="s">
        <v>623</v>
      </c>
      <c r="B174" s="450"/>
      <c r="C174" s="440"/>
      <c r="D174" s="440"/>
      <c r="E174" s="440"/>
      <c r="F174" s="440"/>
      <c r="G174" s="439"/>
      <c r="H174" s="439"/>
      <c r="I174" s="439"/>
      <c r="J174" s="439"/>
      <c r="K174" s="440"/>
      <c r="L174" s="439"/>
      <c r="M174" s="439"/>
      <c r="N174" s="439"/>
      <c r="O174" s="439"/>
      <c r="P174" s="440"/>
      <c r="Q174" s="439"/>
      <c r="R174" s="439"/>
      <c r="S174" s="439"/>
      <c r="T174" s="439"/>
      <c r="U174" s="440"/>
      <c r="V174" s="439"/>
      <c r="W174" s="439"/>
      <c r="X174" s="439"/>
      <c r="Y174" s="439"/>
      <c r="Z174" s="440"/>
      <c r="AA174" s="439"/>
      <c r="AB174" s="439"/>
      <c r="AC174" s="439"/>
      <c r="AD174" s="439"/>
      <c r="AE174" s="440"/>
      <c r="AF174" s="439"/>
      <c r="AG174" s="439"/>
      <c r="AH174" s="439"/>
      <c r="AI174" s="439"/>
      <c r="AJ174" s="440"/>
      <c r="AK174" s="439"/>
      <c r="AL174" s="439"/>
      <c r="AM174" s="439"/>
      <c r="AN174" s="439"/>
      <c r="AO174" s="440"/>
      <c r="AP174" s="439">
        <f t="shared" ref="AP174:AX174" si="129">AP175-AP173</f>
        <v>116</v>
      </c>
      <c r="AQ174" s="439">
        <f t="shared" si="129"/>
        <v>152</v>
      </c>
      <c r="AR174" s="439">
        <f t="shared" si="129"/>
        <v>128</v>
      </c>
      <c r="AS174" s="439">
        <f t="shared" si="129"/>
        <v>127</v>
      </c>
      <c r="AT174" s="440">
        <f t="shared" si="129"/>
        <v>523</v>
      </c>
      <c r="AU174" s="439">
        <f t="shared" si="129"/>
        <v>108</v>
      </c>
      <c r="AV174" s="439">
        <f t="shared" si="129"/>
        <v>91</v>
      </c>
      <c r="AW174" s="726">
        <f t="shared" si="129"/>
        <v>146</v>
      </c>
      <c r="AX174" s="439">
        <f t="shared" si="129"/>
        <v>88.674353854296896</v>
      </c>
      <c r="AY174" s="440">
        <f>SUM(AU174,AV174,AW174,AX174)</f>
        <v>433.6743538542969</v>
      </c>
      <c r="AZ174" s="439">
        <f>AZ175-AZ173</f>
        <v>43.544571824888919</v>
      </c>
      <c r="BA174" s="439">
        <f>BA175-BA173</f>
        <v>38.489428068141876</v>
      </c>
      <c r="BB174" s="439">
        <f>BB175-BB173</f>
        <v>63.920092123364441</v>
      </c>
      <c r="BC174" s="439">
        <f>BC175-BC173</f>
        <v>26.764096061137593</v>
      </c>
      <c r="BD174" s="440">
        <f>SUM(AZ174,BA174,BB174,BC174)</f>
        <v>172.71818807753283</v>
      </c>
      <c r="BE174" s="440">
        <f>BE175-BE173</f>
        <v>-345.87852238812775</v>
      </c>
      <c r="BF174" s="440">
        <f>BF175-BF173</f>
        <v>-717.78812613248419</v>
      </c>
      <c r="BG174" s="440">
        <f>BG175-BG173</f>
        <v>-1357.0170931465418</v>
      </c>
      <c r="BH174" s="361"/>
    </row>
    <row r="175" spans="1:60" s="116" customFormat="1" hidden="1" outlineLevel="1" x14ac:dyDescent="0.25">
      <c r="A175" s="821" t="s">
        <v>664</v>
      </c>
      <c r="B175" s="660"/>
      <c r="C175" s="539"/>
      <c r="D175" s="539"/>
      <c r="E175" s="539"/>
      <c r="F175" s="539"/>
      <c r="G175" s="538"/>
      <c r="H175" s="538"/>
      <c r="I175" s="538"/>
      <c r="J175" s="538"/>
      <c r="K175" s="539"/>
      <c r="L175" s="538"/>
      <c r="M175" s="538"/>
      <c r="N175" s="538"/>
      <c r="O175" s="538"/>
      <c r="P175" s="539"/>
      <c r="Q175" s="538"/>
      <c r="R175" s="538"/>
      <c r="S175" s="538"/>
      <c r="T175" s="538"/>
      <c r="U175" s="539"/>
      <c r="V175" s="538"/>
      <c r="W175" s="538"/>
      <c r="X175" s="538">
        <f t="shared" ref="X175:AW175" si="130">X236</f>
        <v>161.959</v>
      </c>
      <c r="Y175" s="538">
        <f t="shared" si="130"/>
        <v>171.81800000000001</v>
      </c>
      <c r="Z175" s="539">
        <f t="shared" si="130"/>
        <v>481.99400000000003</v>
      </c>
      <c r="AA175" s="538">
        <f t="shared" si="130"/>
        <v>166.02600000000001</v>
      </c>
      <c r="AB175" s="538">
        <f t="shared" si="130"/>
        <v>175.43299999999999</v>
      </c>
      <c r="AC175" s="538">
        <f t="shared" si="130"/>
        <v>175.22399999999999</v>
      </c>
      <c r="AD175" s="538">
        <f t="shared" si="130"/>
        <v>191.541</v>
      </c>
      <c r="AE175" s="539">
        <f t="shared" si="130"/>
        <v>708.22400000000005</v>
      </c>
      <c r="AF175" s="538">
        <f t="shared" si="130"/>
        <v>104.496</v>
      </c>
      <c r="AG175" s="538">
        <f t="shared" si="130"/>
        <v>136.91499999999999</v>
      </c>
      <c r="AH175" s="538">
        <f t="shared" si="130"/>
        <v>119.283</v>
      </c>
      <c r="AI175" s="538">
        <f t="shared" si="130"/>
        <v>127.73099999999999</v>
      </c>
      <c r="AJ175" s="539">
        <f t="shared" si="130"/>
        <v>488.42500000000001</v>
      </c>
      <c r="AK175" s="538">
        <f t="shared" si="130"/>
        <v>117.092</v>
      </c>
      <c r="AL175" s="538">
        <f t="shared" si="130"/>
        <v>106.322</v>
      </c>
      <c r="AM175" s="538">
        <f t="shared" si="130"/>
        <v>117</v>
      </c>
      <c r="AN175" s="538">
        <f t="shared" si="130"/>
        <v>118.58600000000001</v>
      </c>
      <c r="AO175" s="539">
        <f t="shared" si="130"/>
        <v>459</v>
      </c>
      <c r="AP175" s="538">
        <f t="shared" si="130"/>
        <v>122</v>
      </c>
      <c r="AQ175" s="538">
        <f t="shared" si="130"/>
        <v>148</v>
      </c>
      <c r="AR175" s="538">
        <f t="shared" si="130"/>
        <v>145</v>
      </c>
      <c r="AS175" s="538">
        <f t="shared" si="130"/>
        <v>148</v>
      </c>
      <c r="AT175" s="539">
        <f t="shared" si="130"/>
        <v>563</v>
      </c>
      <c r="AU175" s="538">
        <f t="shared" si="130"/>
        <v>160</v>
      </c>
      <c r="AV175" s="538">
        <f t="shared" si="130"/>
        <v>188</v>
      </c>
      <c r="AW175" s="845">
        <f t="shared" si="130"/>
        <v>234</v>
      </c>
      <c r="AX175" s="538">
        <f>AX167-AX176</f>
        <v>244.23705832737338</v>
      </c>
      <c r="AY175" s="539">
        <f>SUM(AY173:AY174)</f>
        <v>826.23705832737335</v>
      </c>
      <c r="AZ175" s="538">
        <f>AZ167-AZ176</f>
        <v>280.19717657051126</v>
      </c>
      <c r="BA175" s="538">
        <f>BA167-BA176</f>
        <v>334.45256969301965</v>
      </c>
      <c r="BB175" s="538">
        <f>BB167-BB176</f>
        <v>397.59235146080778</v>
      </c>
      <c r="BC175" s="538">
        <f>BC167-BC176</f>
        <v>451.91006295890037</v>
      </c>
      <c r="BD175" s="539">
        <f>SUM(BD173:BD174)</f>
        <v>1464.1521606832391</v>
      </c>
      <c r="BE175" s="539">
        <f>BE167-BE176</f>
        <v>2403.0489298923076</v>
      </c>
      <c r="BF175" s="539">
        <f>BF167-BF176</f>
        <v>3328.8731628635783</v>
      </c>
      <c r="BG175" s="539">
        <f>BG167-BG176</f>
        <v>4292.1532327789928</v>
      </c>
      <c r="BH175" s="368"/>
    </row>
    <row r="176" spans="1:60" s="116" customFormat="1" hidden="1" outlineLevel="1" x14ac:dyDescent="0.25">
      <c r="A176" s="645" t="s">
        <v>624</v>
      </c>
      <c r="B176" s="531"/>
      <c r="C176" s="438"/>
      <c r="D176" s="438"/>
      <c r="E176" s="438"/>
      <c r="F176" s="438"/>
      <c r="G176" s="437"/>
      <c r="H176" s="437"/>
      <c r="I176" s="437"/>
      <c r="J176" s="437"/>
      <c r="K176" s="438"/>
      <c r="L176" s="437"/>
      <c r="M176" s="437"/>
      <c r="N176" s="437"/>
      <c r="O176" s="437"/>
      <c r="P176" s="438"/>
      <c r="Q176" s="437"/>
      <c r="R176" s="437"/>
      <c r="S176" s="437"/>
      <c r="T176" s="437"/>
      <c r="U176" s="438"/>
      <c r="V176" s="437"/>
      <c r="W176" s="437"/>
      <c r="X176" s="437">
        <f t="shared" ref="X176:AW176" si="131">X167-X175</f>
        <v>69.325999999999993</v>
      </c>
      <c r="Y176" s="437">
        <f t="shared" si="131"/>
        <v>82.855999999999995</v>
      </c>
      <c r="Z176" s="438">
        <f t="shared" si="131"/>
        <v>279.76499999999999</v>
      </c>
      <c r="AA176" s="437">
        <f t="shared" si="131"/>
        <v>88.513999999999982</v>
      </c>
      <c r="AB176" s="437">
        <f t="shared" si="131"/>
        <v>97.331000000000017</v>
      </c>
      <c r="AC176" s="437">
        <f t="shared" si="131"/>
        <v>110.93400000000003</v>
      </c>
      <c r="AD176" s="437">
        <f t="shared" si="131"/>
        <v>101.54500000000002</v>
      </c>
      <c r="AE176" s="438">
        <f t="shared" si="131"/>
        <v>398.32399999999996</v>
      </c>
      <c r="AF176" s="437">
        <f t="shared" si="131"/>
        <v>68.940000000000012</v>
      </c>
      <c r="AG176" s="437">
        <f t="shared" si="131"/>
        <v>102.90100000000001</v>
      </c>
      <c r="AH176" s="437">
        <f t="shared" si="131"/>
        <v>101.17800000000001</v>
      </c>
      <c r="AI176" s="437">
        <f t="shared" si="131"/>
        <v>122.01700000000005</v>
      </c>
      <c r="AJ176" s="438">
        <f t="shared" si="131"/>
        <v>395.036</v>
      </c>
      <c r="AK176" s="437">
        <f t="shared" si="131"/>
        <v>98.028000000000006</v>
      </c>
      <c r="AL176" s="437">
        <f t="shared" si="131"/>
        <v>102.03999999999999</v>
      </c>
      <c r="AM176" s="437">
        <f t="shared" si="131"/>
        <v>104</v>
      </c>
      <c r="AN176" s="437">
        <f t="shared" si="131"/>
        <v>105.93200000000002</v>
      </c>
      <c r="AO176" s="438">
        <f t="shared" si="131"/>
        <v>410</v>
      </c>
      <c r="AP176" s="437">
        <f t="shared" si="131"/>
        <v>117</v>
      </c>
      <c r="AQ176" s="437">
        <f t="shared" si="131"/>
        <v>120</v>
      </c>
      <c r="AR176" s="437">
        <f t="shared" si="131"/>
        <v>120</v>
      </c>
      <c r="AS176" s="437">
        <f t="shared" si="131"/>
        <v>132</v>
      </c>
      <c r="AT176" s="438">
        <f t="shared" si="131"/>
        <v>489</v>
      </c>
      <c r="AU176" s="437">
        <f t="shared" si="131"/>
        <v>137</v>
      </c>
      <c r="AV176" s="437">
        <f t="shared" si="131"/>
        <v>144</v>
      </c>
      <c r="AW176" s="725">
        <f t="shared" si="131"/>
        <v>151</v>
      </c>
      <c r="AX176" s="437">
        <f>AX167*AX177</f>
        <v>205.08210285307698</v>
      </c>
      <c r="AY176" s="438">
        <f>SUM(AU176,AV176,AW176,AX176)</f>
        <v>637.082102853077</v>
      </c>
      <c r="AZ176" s="437">
        <f>AZ167*AZ177</f>
        <v>235.13589734621067</v>
      </c>
      <c r="BA176" s="437">
        <f>BA167*BA177</f>
        <v>257.22130724967985</v>
      </c>
      <c r="BB176" s="437">
        <f>BB167*BB177</f>
        <v>308.87150137136484</v>
      </c>
      <c r="BC176" s="437">
        <f>BC167*BC177</f>
        <v>377.93527825628911</v>
      </c>
      <c r="BD176" s="438">
        <f>SUM(AZ176,BA176,BB176,BC176)</f>
        <v>1179.1639842235445</v>
      </c>
      <c r="BE176" s="438">
        <f>BE167*BE177</f>
        <v>1943.1567445535484</v>
      </c>
      <c r="BF176" s="438">
        <f>BF167*BF177</f>
        <v>2702.7068590692093</v>
      </c>
      <c r="BG176" s="438">
        <f>BG167*BG177</f>
        <v>3498.9090386172156</v>
      </c>
      <c r="BH176" s="368"/>
    </row>
    <row r="177" spans="1:60" s="120" customFormat="1" hidden="1" outlineLevel="1" x14ac:dyDescent="0.25">
      <c r="A177" s="983" t="s">
        <v>625</v>
      </c>
      <c r="B177" s="215"/>
      <c r="C177" s="100"/>
      <c r="D177" s="100"/>
      <c r="E177" s="100"/>
      <c r="F177" s="100"/>
      <c r="G177" s="1005"/>
      <c r="H177" s="1005"/>
      <c r="I177" s="1005"/>
      <c r="J177" s="1005"/>
      <c r="K177" s="100"/>
      <c r="L177" s="1005"/>
      <c r="M177" s="1005"/>
      <c r="N177" s="1005"/>
      <c r="O177" s="1005"/>
      <c r="P177" s="100"/>
      <c r="Q177" s="1005"/>
      <c r="R177" s="1005"/>
      <c r="S177" s="1005"/>
      <c r="T177" s="1005"/>
      <c r="U177" s="100"/>
      <c r="V177" s="1005"/>
      <c r="W177" s="1005"/>
      <c r="X177" s="1005">
        <f t="shared" ref="X177:AW177" si="132">X176/X167</f>
        <v>0.29974274163910325</v>
      </c>
      <c r="Y177" s="1005">
        <f t="shared" si="132"/>
        <v>0.3253414168701948</v>
      </c>
      <c r="Z177" s="100">
        <f t="shared" si="132"/>
        <v>0.36726182427775711</v>
      </c>
      <c r="AA177" s="1005">
        <f t="shared" si="132"/>
        <v>0.34774102302192184</v>
      </c>
      <c r="AB177" s="1005">
        <f t="shared" si="132"/>
        <v>0.35683227991963756</v>
      </c>
      <c r="AC177" s="1005">
        <f t="shared" si="132"/>
        <v>0.38766695322164685</v>
      </c>
      <c r="AD177" s="1005">
        <f t="shared" si="132"/>
        <v>0.34646827211125747</v>
      </c>
      <c r="AE177" s="100">
        <f t="shared" si="132"/>
        <v>0.35996992448587856</v>
      </c>
      <c r="AF177" s="1005">
        <f t="shared" si="132"/>
        <v>0.39749532968933793</v>
      </c>
      <c r="AG177" s="1005">
        <f t="shared" si="132"/>
        <v>0.42908313039997337</v>
      </c>
      <c r="AH177" s="1005">
        <f t="shared" si="132"/>
        <v>0.4589383156204499</v>
      </c>
      <c r="AI177" s="1005">
        <f t="shared" si="132"/>
        <v>0.48856046895270444</v>
      </c>
      <c r="AJ177" s="100">
        <f t="shared" si="132"/>
        <v>0.44714594079421727</v>
      </c>
      <c r="AK177" s="1005">
        <f t="shared" si="132"/>
        <v>0.45568984752696173</v>
      </c>
      <c r="AL177" s="1005">
        <f t="shared" si="132"/>
        <v>0.48972461389312827</v>
      </c>
      <c r="AM177" s="1005">
        <f t="shared" si="132"/>
        <v>0.47058823529411764</v>
      </c>
      <c r="AN177" s="1005">
        <f t="shared" si="132"/>
        <v>0.47181963138812927</v>
      </c>
      <c r="AO177" s="100">
        <f t="shared" si="132"/>
        <v>0.47180667433831991</v>
      </c>
      <c r="AP177" s="1005">
        <f t="shared" si="132"/>
        <v>0.4895397489539749</v>
      </c>
      <c r="AQ177" s="1005">
        <f t="shared" si="132"/>
        <v>0.44776119402985076</v>
      </c>
      <c r="AR177" s="1005">
        <f t="shared" si="132"/>
        <v>0.45283018867924529</v>
      </c>
      <c r="AS177" s="1005">
        <f t="shared" si="132"/>
        <v>0.47142857142857142</v>
      </c>
      <c r="AT177" s="100">
        <f t="shared" si="132"/>
        <v>0.46482889733840305</v>
      </c>
      <c r="AU177" s="1005">
        <f t="shared" si="132"/>
        <v>0.46127946127946129</v>
      </c>
      <c r="AV177" s="1005">
        <f t="shared" si="132"/>
        <v>0.43373493975903615</v>
      </c>
      <c r="AW177" s="727">
        <f t="shared" si="132"/>
        <v>0.39220779220779223</v>
      </c>
      <c r="AX177" s="1005">
        <f>AS177+AX178/10000</f>
        <v>0.45642857142857141</v>
      </c>
      <c r="AY177" s="100">
        <f>AY176/AY167</f>
        <v>0.4353678402865625</v>
      </c>
      <c r="AZ177" s="1005">
        <f t="shared" ref="AZ177:BC177" si="133">AU177+AZ178/10000</f>
        <v>0.45627946127946128</v>
      </c>
      <c r="BA177" s="1005">
        <f t="shared" si="133"/>
        <v>0.43473493975903615</v>
      </c>
      <c r="BB177" s="1005">
        <f t="shared" si="133"/>
        <v>0.43720779220779221</v>
      </c>
      <c r="BC177" s="1005">
        <f t="shared" si="133"/>
        <v>0.4554285714285714</v>
      </c>
      <c r="BD177" s="100">
        <f>BD176/BD167</f>
        <v>0.44609268039904765</v>
      </c>
      <c r="BE177" s="100">
        <f>BD177+BE178/10000</f>
        <v>0.44709268039904765</v>
      </c>
      <c r="BF177" s="100">
        <f t="shared" ref="BF177" si="134">BE177+BF178/10000</f>
        <v>0.44809268039904765</v>
      </c>
      <c r="BG177" s="100">
        <f t="shared" ref="BG177" si="135">BF177+BG178/10000</f>
        <v>0.44909268039904765</v>
      </c>
      <c r="BH177" s="366"/>
    </row>
    <row r="178" spans="1:60" s="993" customFormat="1" hidden="1" outlineLevel="1" x14ac:dyDescent="0.25">
      <c r="A178" s="222" t="s">
        <v>804</v>
      </c>
      <c r="B178" s="919"/>
      <c r="C178" s="440"/>
      <c r="D178" s="440"/>
      <c r="E178" s="440"/>
      <c r="F178" s="440"/>
      <c r="G178" s="439"/>
      <c r="H178" s="439"/>
      <c r="I178" s="439"/>
      <c r="J178" s="439"/>
      <c r="K178" s="440"/>
      <c r="L178" s="439"/>
      <c r="M178" s="439"/>
      <c r="N178" s="439"/>
      <c r="O178" s="439"/>
      <c r="P178" s="440"/>
      <c r="Q178" s="439"/>
      <c r="R178" s="439"/>
      <c r="S178" s="439"/>
      <c r="T178" s="439"/>
      <c r="U178" s="440"/>
      <c r="V178" s="439"/>
      <c r="W178" s="439"/>
      <c r="X178" s="439"/>
      <c r="Y178" s="439"/>
      <c r="Z178" s="440"/>
      <c r="AA178" s="439"/>
      <c r="AB178" s="439"/>
      <c r="AC178" s="439">
        <f t="shared" ref="AC178:AW178" si="136">(AC177-X177)*10000</f>
        <v>879.24211582543603</v>
      </c>
      <c r="AD178" s="439">
        <f t="shared" si="136"/>
        <v>211.26855241062671</v>
      </c>
      <c r="AE178" s="440">
        <f t="shared" si="136"/>
        <v>-72.918997918785536</v>
      </c>
      <c r="AF178" s="439">
        <f t="shared" si="136"/>
        <v>497.54306667416091</v>
      </c>
      <c r="AG178" s="439">
        <f t="shared" si="136"/>
        <v>722.50850480335805</v>
      </c>
      <c r="AH178" s="439">
        <f t="shared" si="136"/>
        <v>712.71362398803046</v>
      </c>
      <c r="AI178" s="439">
        <f t="shared" si="136"/>
        <v>1420.9219684144698</v>
      </c>
      <c r="AJ178" s="440">
        <f t="shared" si="136"/>
        <v>871.76016308338706</v>
      </c>
      <c r="AK178" s="439">
        <f t="shared" si="136"/>
        <v>581.945178376238</v>
      </c>
      <c r="AL178" s="439">
        <f t="shared" si="136"/>
        <v>606.41483493154897</v>
      </c>
      <c r="AM178" s="439">
        <f t="shared" si="136"/>
        <v>116.49919673667742</v>
      </c>
      <c r="AN178" s="439">
        <f t="shared" si="136"/>
        <v>-167.40837564575173</v>
      </c>
      <c r="AO178" s="440">
        <f t="shared" si="136"/>
        <v>246.60733544102641</v>
      </c>
      <c r="AP178" s="439">
        <f t="shared" si="136"/>
        <v>338.49901427013162</v>
      </c>
      <c r="AQ178" s="439">
        <f t="shared" si="136"/>
        <v>-419.63419863277505</v>
      </c>
      <c r="AR178" s="439">
        <f t="shared" si="136"/>
        <v>-177.58046614872347</v>
      </c>
      <c r="AS178" s="439">
        <f t="shared" si="136"/>
        <v>-3.91059959557849</v>
      </c>
      <c r="AT178" s="440">
        <f t="shared" si="136"/>
        <v>-69.777769999168626</v>
      </c>
      <c r="AU178" s="439">
        <f t="shared" si="136"/>
        <v>-282.60287674513609</v>
      </c>
      <c r="AV178" s="439">
        <f t="shared" si="136"/>
        <v>-140.2625427081461</v>
      </c>
      <c r="AW178" s="726">
        <f t="shared" si="136"/>
        <v>-606.22396471453067</v>
      </c>
      <c r="AX178" s="1006">
        <v>-150</v>
      </c>
      <c r="AY178" s="591">
        <f>(AY177-AT177)*10000</f>
        <v>-294.61057051840544</v>
      </c>
      <c r="AZ178" s="1006">
        <v>-50</v>
      </c>
      <c r="BA178" s="1006">
        <v>10</v>
      </c>
      <c r="BB178" s="1006">
        <v>450</v>
      </c>
      <c r="BC178" s="1006">
        <v>-10</v>
      </c>
      <c r="BD178" s="591">
        <f>(BD177-AY177)*10000</f>
        <v>107.24840112485145</v>
      </c>
      <c r="BE178" s="1007">
        <v>10</v>
      </c>
      <c r="BF178" s="1007">
        <v>10</v>
      </c>
      <c r="BG178" s="1007">
        <v>10</v>
      </c>
      <c r="BH178" s="992"/>
    </row>
    <row r="179" spans="1:60" s="112" customFormat="1" collapsed="1" x14ac:dyDescent="0.25">
      <c r="A179" s="643"/>
      <c r="B179" s="507"/>
      <c r="C179" s="1045"/>
      <c r="D179" s="1045"/>
      <c r="E179" s="1045"/>
      <c r="F179" s="1045"/>
      <c r="G179" s="1046"/>
      <c r="H179" s="1046"/>
      <c r="I179" s="1046"/>
      <c r="J179" s="1046"/>
      <c r="K179" s="1045"/>
      <c r="L179" s="1046"/>
      <c r="M179" s="1046"/>
      <c r="N179" s="1046"/>
      <c r="O179" s="1046"/>
      <c r="P179" s="1045"/>
      <c r="Q179" s="1046"/>
      <c r="R179" s="1046"/>
      <c r="S179" s="1046"/>
      <c r="T179" s="1046"/>
      <c r="U179" s="1045"/>
      <c r="V179" s="1046"/>
      <c r="W179" s="1046"/>
      <c r="X179" s="1046"/>
      <c r="Y179" s="1046"/>
      <c r="Z179" s="1045"/>
      <c r="AA179" s="1046"/>
      <c r="AB179" s="1046"/>
      <c r="AC179" s="1046"/>
      <c r="AD179" s="1046"/>
      <c r="AE179" s="1045"/>
      <c r="AF179" s="1046"/>
      <c r="AG179" s="1046"/>
      <c r="AH179" s="1046"/>
      <c r="AI179" s="1046"/>
      <c r="AJ179" s="1045"/>
      <c r="AK179" s="1046"/>
      <c r="AL179" s="1046"/>
      <c r="AM179" s="1046"/>
      <c r="AN179" s="1046"/>
      <c r="AO179" s="1045"/>
      <c r="AP179" s="1046"/>
      <c r="AQ179" s="1046"/>
      <c r="AR179" s="1046"/>
      <c r="AS179" s="1046"/>
      <c r="AT179" s="1045"/>
      <c r="AU179" s="1046"/>
      <c r="AV179" s="1046"/>
      <c r="AW179" s="1047"/>
      <c r="AX179" s="1046"/>
      <c r="AY179" s="1045"/>
      <c r="AZ179" s="1046"/>
      <c r="BA179" s="1046"/>
      <c r="BB179" s="1046"/>
      <c r="BC179" s="1046"/>
      <c r="BD179" s="1045"/>
      <c r="BE179" s="1045"/>
      <c r="BF179" s="1045"/>
      <c r="BG179" s="1045"/>
      <c r="BH179" s="1034"/>
    </row>
    <row r="180" spans="1:60" s="112" customFormat="1" x14ac:dyDescent="0.25">
      <c r="A180" s="1020" t="s">
        <v>712</v>
      </c>
      <c r="B180" s="1020"/>
      <c r="C180" s="1043"/>
      <c r="D180" s="1043"/>
      <c r="E180" s="1043"/>
      <c r="F180" s="1043"/>
      <c r="G180" s="1043"/>
      <c r="H180" s="1043"/>
      <c r="I180" s="1043"/>
      <c r="J180" s="1043"/>
      <c r="K180" s="1043"/>
      <c r="L180" s="1043"/>
      <c r="M180" s="1043"/>
      <c r="N180" s="1043"/>
      <c r="O180" s="1043"/>
      <c r="P180" s="1043"/>
      <c r="Q180" s="1043"/>
      <c r="R180" s="1043"/>
      <c r="S180" s="1043"/>
      <c r="T180" s="1043"/>
      <c r="U180" s="1043"/>
      <c r="V180" s="1043"/>
      <c r="W180" s="1043"/>
      <c r="X180" s="1043"/>
      <c r="Y180" s="1043"/>
      <c r="Z180" s="1043"/>
      <c r="AA180" s="1043"/>
      <c r="AB180" s="1043"/>
      <c r="AC180" s="1043"/>
      <c r="AD180" s="1043"/>
      <c r="AE180" s="1043"/>
      <c r="AF180" s="1043"/>
      <c r="AG180" s="1043"/>
      <c r="AH180" s="1043"/>
      <c r="AI180" s="1043"/>
      <c r="AJ180" s="1043"/>
      <c r="AK180" s="1043"/>
      <c r="AL180" s="1043"/>
      <c r="AM180" s="1043"/>
      <c r="AN180" s="1043"/>
      <c r="AO180" s="1043"/>
      <c r="AP180" s="1043"/>
      <c r="AQ180" s="1043"/>
      <c r="AR180" s="1043"/>
      <c r="AS180" s="1043"/>
      <c r="AT180" s="1043"/>
      <c r="AU180" s="1043"/>
      <c r="AV180" s="1043"/>
      <c r="AW180" s="1044"/>
      <c r="AX180" s="1043"/>
      <c r="AY180" s="1043"/>
      <c r="AZ180" s="1043"/>
      <c r="BA180" s="1043"/>
      <c r="BB180" s="1043"/>
      <c r="BC180" s="1043"/>
      <c r="BD180" s="1043"/>
      <c r="BE180" s="1043"/>
      <c r="BF180" s="1043"/>
      <c r="BG180" s="1043"/>
      <c r="BH180" s="1034"/>
    </row>
    <row r="181" spans="1:60" s="116" customFormat="1" hidden="1" outlineLevel="1" x14ac:dyDescent="0.25">
      <c r="A181" s="645" t="s">
        <v>713</v>
      </c>
      <c r="B181" s="531"/>
      <c r="C181" s="438">
        <f t="shared" ref="C181:AE181" si="137">C224+C225</f>
        <v>111.943</v>
      </c>
      <c r="D181" s="438">
        <f t="shared" si="137"/>
        <v>97.078000000000003</v>
      </c>
      <c r="E181" s="438">
        <f t="shared" si="137"/>
        <v>148.56800000000001</v>
      </c>
      <c r="F181" s="438">
        <f t="shared" si="137"/>
        <v>385.69900000000001</v>
      </c>
      <c r="G181" s="437">
        <f t="shared" si="137"/>
        <v>555.20299999999997</v>
      </c>
      <c r="H181" s="437">
        <f t="shared" si="137"/>
        <v>401.53500000000003</v>
      </c>
      <c r="I181" s="437">
        <f t="shared" si="137"/>
        <v>430.19600000000003</v>
      </c>
      <c r="J181" s="437">
        <f t="shared" si="137"/>
        <v>610.85200000000009</v>
      </c>
      <c r="K181" s="438">
        <f t="shared" si="137"/>
        <v>1997.7860000000001</v>
      </c>
      <c r="L181" s="437">
        <f t="shared" si="137"/>
        <v>588.87099999999998</v>
      </c>
      <c r="M181" s="437">
        <f t="shared" si="137"/>
        <v>727.82899999999995</v>
      </c>
      <c r="N181" s="437">
        <f t="shared" si="137"/>
        <v>799.91499999999996</v>
      </c>
      <c r="O181" s="437">
        <f t="shared" si="137"/>
        <v>890.39599999999996</v>
      </c>
      <c r="P181" s="438">
        <f t="shared" si="137"/>
        <v>3007.0120000000002</v>
      </c>
      <c r="Q181" s="437">
        <f t="shared" si="137"/>
        <v>893.32</v>
      </c>
      <c r="R181" s="437">
        <f t="shared" si="137"/>
        <v>878.09</v>
      </c>
      <c r="S181" s="437">
        <f t="shared" si="137"/>
        <v>852.55499999999995</v>
      </c>
      <c r="T181" s="437">
        <f t="shared" si="137"/>
        <v>1117.008</v>
      </c>
      <c r="U181" s="438">
        <f t="shared" si="137"/>
        <v>3740.973</v>
      </c>
      <c r="V181" s="437">
        <f t="shared" si="137"/>
        <v>1026.0640000000001</v>
      </c>
      <c r="W181" s="437">
        <f t="shared" si="137"/>
        <v>1181.8520000000001</v>
      </c>
      <c r="X181" s="437">
        <f t="shared" si="137"/>
        <v>2148.7269999999999</v>
      </c>
      <c r="Y181" s="437">
        <f t="shared" si="137"/>
        <v>1994.123</v>
      </c>
      <c r="Z181" s="438">
        <f t="shared" si="137"/>
        <v>6350.7659999999996</v>
      </c>
      <c r="AA181" s="437">
        <f t="shared" si="137"/>
        <v>2289.6</v>
      </c>
      <c r="AB181" s="437">
        <f t="shared" si="137"/>
        <v>2286.616</v>
      </c>
      <c r="AC181" s="437">
        <f t="shared" si="137"/>
        <v>2362.8890000000001</v>
      </c>
      <c r="AD181" s="437">
        <f t="shared" si="137"/>
        <v>2702.1949999999997</v>
      </c>
      <c r="AE181" s="438">
        <f t="shared" si="137"/>
        <v>9641.3000000000011</v>
      </c>
      <c r="AF181" s="437">
        <f t="shared" ref="AF181:BG181" si="138">AF125+AF167</f>
        <v>2735.3170000000005</v>
      </c>
      <c r="AG181" s="437">
        <f t="shared" si="138"/>
        <v>3357.681</v>
      </c>
      <c r="AH181" s="437">
        <f t="shared" si="138"/>
        <v>6098.7660000000005</v>
      </c>
      <c r="AI181" s="437">
        <f t="shared" si="138"/>
        <v>6323.2189999999973</v>
      </c>
      <c r="AJ181" s="438">
        <f t="shared" si="138"/>
        <v>18514.982999999997</v>
      </c>
      <c r="AK181" s="437">
        <f t="shared" si="138"/>
        <v>3723.8609999999999</v>
      </c>
      <c r="AL181" s="437">
        <f t="shared" si="138"/>
        <v>5376.3890000000001</v>
      </c>
      <c r="AM181" s="437">
        <f t="shared" si="138"/>
        <v>5353</v>
      </c>
      <c r="AN181" s="437">
        <f t="shared" si="138"/>
        <v>6367.7499999999991</v>
      </c>
      <c r="AO181" s="438">
        <f t="shared" si="138"/>
        <v>20821</v>
      </c>
      <c r="AP181" s="437">
        <f t="shared" si="138"/>
        <v>5132</v>
      </c>
      <c r="AQ181" s="437">
        <f t="shared" si="138"/>
        <v>5179</v>
      </c>
      <c r="AR181" s="437">
        <f t="shared" si="138"/>
        <v>7611</v>
      </c>
      <c r="AS181" s="437">
        <f t="shared" si="138"/>
        <v>9314</v>
      </c>
      <c r="AT181" s="438">
        <f t="shared" si="138"/>
        <v>27236</v>
      </c>
      <c r="AU181" s="437">
        <f t="shared" si="138"/>
        <v>9002</v>
      </c>
      <c r="AV181" s="437">
        <f t="shared" si="138"/>
        <v>10206</v>
      </c>
      <c r="AW181" s="725">
        <f t="shared" si="138"/>
        <v>12057</v>
      </c>
      <c r="AX181" s="437">
        <f t="shared" si="138"/>
        <v>14880.39804476194</v>
      </c>
      <c r="AY181" s="438">
        <f t="shared" si="138"/>
        <v>46145.398044761947</v>
      </c>
      <c r="AZ181" s="437">
        <f t="shared" si="138"/>
        <v>19046.656574025899</v>
      </c>
      <c r="BA181" s="437">
        <f t="shared" si="138"/>
        <v>22136.371126476992</v>
      </c>
      <c r="BB181" s="437">
        <f t="shared" si="138"/>
        <v>26474.543846248267</v>
      </c>
      <c r="BC181" s="437">
        <f t="shared" si="138"/>
        <v>29780.420543255561</v>
      </c>
      <c r="BD181" s="438">
        <f t="shared" si="138"/>
        <v>97437.992090006723</v>
      </c>
      <c r="BE181" s="438">
        <f t="shared" si="138"/>
        <v>118687.28237402203</v>
      </c>
      <c r="BF181" s="438">
        <f t="shared" si="138"/>
        <v>143848.8474149869</v>
      </c>
      <c r="BG181" s="438">
        <f t="shared" si="138"/>
        <v>173917.09944324588</v>
      </c>
      <c r="BH181" s="368"/>
    </row>
    <row r="182" spans="1:60" s="116" customFormat="1" hidden="1" outlineLevel="1" x14ac:dyDescent="0.25">
      <c r="A182" s="950" t="s">
        <v>785</v>
      </c>
      <c r="B182" s="543"/>
      <c r="C182" s="191"/>
      <c r="D182" s="191"/>
      <c r="E182" s="191"/>
      <c r="F182" s="191"/>
      <c r="G182" s="1004"/>
      <c r="H182" s="1004">
        <f>H181/G181-1</f>
        <v>-0.27677804334630751</v>
      </c>
      <c r="I182" s="1004">
        <f>I181/H181-1</f>
        <v>7.1378584681285551E-2</v>
      </c>
      <c r="J182" s="1004">
        <f>J181/I181-1</f>
        <v>0.41993881858501725</v>
      </c>
      <c r="K182" s="191"/>
      <c r="L182" s="1004">
        <f>L181/J181-1</f>
        <v>-3.5984166377453275E-2</v>
      </c>
      <c r="M182" s="1004">
        <f>M181/L181-1</f>
        <v>0.23597358334847529</v>
      </c>
      <c r="N182" s="1004">
        <f>N181/M181-1</f>
        <v>9.9042494871734998E-2</v>
      </c>
      <c r="O182" s="1004">
        <f>O181/N181-1</f>
        <v>0.11311326828475532</v>
      </c>
      <c r="P182" s="191"/>
      <c r="Q182" s="1004">
        <f>Q181/O181-1</f>
        <v>3.2839320931361549E-3</v>
      </c>
      <c r="R182" s="1004">
        <f>R181/Q181-1</f>
        <v>-1.70487619218197E-2</v>
      </c>
      <c r="S182" s="1004">
        <f>S181/R181-1</f>
        <v>-2.9080162625699013E-2</v>
      </c>
      <c r="T182" s="1004">
        <f>T181/S181-1</f>
        <v>0.31018878547425111</v>
      </c>
      <c r="U182" s="191"/>
      <c r="V182" s="1004">
        <f>V181/T181-1</f>
        <v>-8.1417501038488549E-2</v>
      </c>
      <c r="W182" s="1004">
        <f>W181/V181-1</f>
        <v>0.15183068502549557</v>
      </c>
      <c r="X182" s="1004">
        <f>X181/W181-1</f>
        <v>0.81810158970835589</v>
      </c>
      <c r="Y182" s="1004">
        <f>Y181/X181-1</f>
        <v>-7.1951439154438801E-2</v>
      </c>
      <c r="Z182" s="191"/>
      <c r="AA182" s="1004">
        <f>AA181/Y181-1</f>
        <v>0.14817390903168959</v>
      </c>
      <c r="AB182" s="1004">
        <f>AB181/AA181-1</f>
        <v>-1.3032844164919677E-3</v>
      </c>
      <c r="AC182" s="1004">
        <f>AC181/AB181-1</f>
        <v>3.3356278448152255E-2</v>
      </c>
      <c r="AD182" s="1004">
        <f>AD181/AC181-1</f>
        <v>0.14359794302652373</v>
      </c>
      <c r="AE182" s="191"/>
      <c r="AF182" s="1004">
        <f>AF181/AD181-1</f>
        <v>1.2257442560585252E-2</v>
      </c>
      <c r="AG182" s="1004">
        <f>AG181/AF181-1</f>
        <v>0.22752902131635921</v>
      </c>
      <c r="AH182" s="1004">
        <f>AH181/AG181-1</f>
        <v>0.81636254307660572</v>
      </c>
      <c r="AI182" s="1004">
        <f>AI181/AH181-1</f>
        <v>3.6803018840204205E-2</v>
      </c>
      <c r="AJ182" s="191"/>
      <c r="AK182" s="1004">
        <f>AK181/AI181-1</f>
        <v>-0.4110814444351838</v>
      </c>
      <c r="AL182" s="1004">
        <f>AL181/AK181-1</f>
        <v>0.44376736940503436</v>
      </c>
      <c r="AM182" s="1004">
        <f>AM181/AL181-1</f>
        <v>-4.350317657446312E-3</v>
      </c>
      <c r="AN182" s="1004">
        <f>AN181/AM181-1</f>
        <v>0.1895665981692507</v>
      </c>
      <c r="AO182" s="191"/>
      <c r="AP182" s="1004">
        <f>AP181/AN181-1</f>
        <v>-0.19406383730517052</v>
      </c>
      <c r="AQ182" s="1004">
        <f>AQ181/AP181-1</f>
        <v>9.1582229150428685E-3</v>
      </c>
      <c r="AR182" s="1004">
        <f>AR181/AQ181-1</f>
        <v>0.46958872369183235</v>
      </c>
      <c r="AS182" s="1004">
        <f>AS181/AR181-1</f>
        <v>0.22375509131520177</v>
      </c>
      <c r="AT182" s="191"/>
      <c r="AU182" s="1004">
        <f>AU181/AS181-1</f>
        <v>-3.349796006012451E-2</v>
      </c>
      <c r="AV182" s="1004">
        <f>AV181/AU181-1</f>
        <v>0.13374805598755835</v>
      </c>
      <c r="AW182" s="820">
        <f>AW181/AV181-1</f>
        <v>0.18136390358612586</v>
      </c>
      <c r="AX182" s="1004">
        <f>AX181/AW181-1</f>
        <v>0.23417085881744537</v>
      </c>
      <c r="AY182" s="191"/>
      <c r="AZ182" s="1004">
        <f>AZ181/AX181-1</f>
        <v>0.27998300292313272</v>
      </c>
      <c r="BA182" s="1004">
        <f>BA181/AZ181-1</f>
        <v>0.16221821086775745</v>
      </c>
      <c r="BB182" s="1004">
        <f>BB181/BA181-1</f>
        <v>0.19597488201588975</v>
      </c>
      <c r="BC182" s="1004">
        <f>BC181/BB181-1</f>
        <v>0.12487001537047338</v>
      </c>
      <c r="BD182" s="191"/>
      <c r="BE182" s="191"/>
      <c r="BF182" s="191"/>
      <c r="BG182" s="191"/>
      <c r="BH182" s="368"/>
    </row>
    <row r="183" spans="1:60" s="574" customFormat="1" hidden="1" outlineLevel="1" x14ac:dyDescent="0.25">
      <c r="A183" s="658" t="s">
        <v>786</v>
      </c>
      <c r="B183" s="237"/>
      <c r="C183" s="191"/>
      <c r="D183" s="191"/>
      <c r="E183" s="191">
        <f>E181/D181-1</f>
        <v>0.53039823646964313</v>
      </c>
      <c r="F183" s="191">
        <f>F181/E181-1</f>
        <v>1.5961108717893491</v>
      </c>
      <c r="G183" s="1004"/>
      <c r="H183" s="1004"/>
      <c r="I183" s="1004"/>
      <c r="J183" s="1004"/>
      <c r="K183" s="191">
        <f t="shared" ref="K183:BD183" si="139">K181/F181-1</f>
        <v>4.1796504528142409</v>
      </c>
      <c r="L183" s="1004">
        <f t="shared" si="139"/>
        <v>6.0640882704164012E-2</v>
      </c>
      <c r="M183" s="1004">
        <f t="shared" si="139"/>
        <v>0.81261658385943925</v>
      </c>
      <c r="N183" s="1004">
        <f t="shared" si="139"/>
        <v>0.85941989232814797</v>
      </c>
      <c r="O183" s="1004">
        <f t="shared" si="139"/>
        <v>0.457629671344286</v>
      </c>
      <c r="P183" s="191">
        <f t="shared" si="139"/>
        <v>0.50517222565379871</v>
      </c>
      <c r="Q183" s="1004">
        <f t="shared" si="139"/>
        <v>0.51700457315778858</v>
      </c>
      <c r="R183" s="1004">
        <f t="shared" si="139"/>
        <v>0.20645096581752043</v>
      </c>
      <c r="S183" s="1004">
        <f t="shared" si="139"/>
        <v>6.5806991992899189E-2</v>
      </c>
      <c r="T183" s="1004">
        <f t="shared" si="139"/>
        <v>0.25450698340962918</v>
      </c>
      <c r="U183" s="191">
        <f t="shared" si="139"/>
        <v>0.24408316295378918</v>
      </c>
      <c r="V183" s="1004">
        <f t="shared" si="139"/>
        <v>0.14859624770518964</v>
      </c>
      <c r="W183" s="1004">
        <f t="shared" si="139"/>
        <v>0.34593492694370731</v>
      </c>
      <c r="X183" s="1004">
        <f t="shared" si="139"/>
        <v>1.5203382772958931</v>
      </c>
      <c r="Y183" s="1004">
        <f t="shared" si="139"/>
        <v>0.78523609499663394</v>
      </c>
      <c r="Z183" s="191">
        <f t="shared" si="139"/>
        <v>0.69762412078355007</v>
      </c>
      <c r="AA183" s="1004">
        <f t="shared" si="139"/>
        <v>1.2314397542453488</v>
      </c>
      <c r="AB183" s="1004">
        <f t="shared" si="139"/>
        <v>0.93477355878739443</v>
      </c>
      <c r="AC183" s="1004">
        <f t="shared" si="139"/>
        <v>9.9669246023343261E-2</v>
      </c>
      <c r="AD183" s="1004">
        <f t="shared" si="139"/>
        <v>0.35507940081930744</v>
      </c>
      <c r="AE183" s="191">
        <f t="shared" si="139"/>
        <v>0.51813182850698669</v>
      </c>
      <c r="AF183" s="1004">
        <f t="shared" si="139"/>
        <v>0.19467024807826716</v>
      </c>
      <c r="AG183" s="1004">
        <f t="shared" si="139"/>
        <v>0.46840615127332264</v>
      </c>
      <c r="AH183" s="1004">
        <f t="shared" si="139"/>
        <v>1.5810632661965927</v>
      </c>
      <c r="AI183" s="1004">
        <f t="shared" si="139"/>
        <v>1.3400306047491015</v>
      </c>
      <c r="AJ183" s="191">
        <f t="shared" si="139"/>
        <v>0.92038241730886861</v>
      </c>
      <c r="AK183" s="1004">
        <f t="shared" si="139"/>
        <v>0.36140015946963344</v>
      </c>
      <c r="AL183" s="1004">
        <f t="shared" si="139"/>
        <v>0.60122090216432111</v>
      </c>
      <c r="AM183" s="1004">
        <f t="shared" si="139"/>
        <v>-0.12228145824909509</v>
      </c>
      <c r="AN183" s="1004">
        <f t="shared" si="139"/>
        <v>7.042457330673102E-3</v>
      </c>
      <c r="AO183" s="191">
        <f t="shared" si="139"/>
        <v>0.12454869658805534</v>
      </c>
      <c r="AP183" s="1004">
        <f t="shared" si="139"/>
        <v>0.37813951702278903</v>
      </c>
      <c r="AQ183" s="1004">
        <f t="shared" si="139"/>
        <v>-3.6714047290848928E-2</v>
      </c>
      <c r="AR183" s="1004">
        <f t="shared" si="139"/>
        <v>0.42181954044461056</v>
      </c>
      <c r="AS183" s="1004">
        <f t="shared" si="139"/>
        <v>0.46268305131325849</v>
      </c>
      <c r="AT183" s="191">
        <f t="shared" si="139"/>
        <v>0.30810239661879835</v>
      </c>
      <c r="AU183" s="1004">
        <f t="shared" si="139"/>
        <v>0.75409197194076394</v>
      </c>
      <c r="AV183" s="1004">
        <f t="shared" si="139"/>
        <v>0.97065070476926052</v>
      </c>
      <c r="AW183" s="820">
        <f t="shared" si="139"/>
        <v>0.58415451320457223</v>
      </c>
      <c r="AX183" s="1004">
        <f t="shared" si="139"/>
        <v>0.59763775443009881</v>
      </c>
      <c r="AY183" s="191">
        <f t="shared" si="139"/>
        <v>0.69427955811286335</v>
      </c>
      <c r="AZ183" s="1004">
        <f t="shared" si="139"/>
        <v>1.1158249915603089</v>
      </c>
      <c r="BA183" s="1004">
        <f t="shared" si="139"/>
        <v>1.1689566065527135</v>
      </c>
      <c r="BB183" s="1004">
        <f t="shared" si="139"/>
        <v>1.1957820225800999</v>
      </c>
      <c r="BC183" s="1004">
        <f t="shared" si="139"/>
        <v>1.0013188124183672</v>
      </c>
      <c r="BD183" s="191">
        <f t="shared" si="139"/>
        <v>1.1115429971042823</v>
      </c>
      <c r="BE183" s="191">
        <f>BE181/BD181-1</f>
        <v>0.21808013310030683</v>
      </c>
      <c r="BF183" s="191">
        <f>BF181/BE181-1</f>
        <v>0.21199883035212341</v>
      </c>
      <c r="BG183" s="191">
        <f>BG181/BF181-1</f>
        <v>0.20902671497614178</v>
      </c>
      <c r="BH183" s="572"/>
    </row>
    <row r="184" spans="1:60" s="112" customFormat="1" hidden="1" outlineLevel="1" x14ac:dyDescent="0.25">
      <c r="A184" s="643"/>
      <c r="B184" s="507"/>
      <c r="C184" s="1045"/>
      <c r="D184" s="1045"/>
      <c r="E184" s="1045"/>
      <c r="F184" s="1045"/>
      <c r="G184" s="1046"/>
      <c r="H184" s="1046"/>
      <c r="I184" s="1046"/>
      <c r="J184" s="1046"/>
      <c r="K184" s="1045"/>
      <c r="L184" s="1046"/>
      <c r="M184" s="1046"/>
      <c r="N184" s="1046"/>
      <c r="O184" s="1046"/>
      <c r="P184" s="1045"/>
      <c r="Q184" s="1046"/>
      <c r="R184" s="1046"/>
      <c r="S184" s="1046"/>
      <c r="T184" s="1046"/>
      <c r="U184" s="1045"/>
      <c r="V184" s="1046"/>
      <c r="W184" s="1046"/>
      <c r="X184" s="1046"/>
      <c r="Y184" s="1046"/>
      <c r="Z184" s="1045"/>
      <c r="AA184" s="1046"/>
      <c r="AB184" s="1046"/>
      <c r="AC184" s="1046"/>
      <c r="AD184" s="1046"/>
      <c r="AE184" s="1045"/>
      <c r="AF184" s="1046"/>
      <c r="AG184" s="1046"/>
      <c r="AH184" s="1046"/>
      <c r="AI184" s="1046"/>
      <c r="AJ184" s="1045"/>
      <c r="AK184" s="1046"/>
      <c r="AL184" s="1046"/>
      <c r="AM184" s="1046"/>
      <c r="AN184" s="1046"/>
      <c r="AO184" s="1045"/>
      <c r="AP184" s="1046"/>
      <c r="AQ184" s="1046"/>
      <c r="AR184" s="1046"/>
      <c r="AS184" s="1046"/>
      <c r="AT184" s="1045"/>
      <c r="AU184" s="1046"/>
      <c r="AV184" s="1046"/>
      <c r="AW184" s="1047"/>
      <c r="AX184" s="1046"/>
      <c r="AY184" s="1045"/>
      <c r="AZ184" s="1046"/>
      <c r="BA184" s="1046"/>
      <c r="BB184" s="1046"/>
      <c r="BC184" s="1046"/>
      <c r="BD184" s="1045"/>
      <c r="BE184" s="1045"/>
      <c r="BF184" s="1045"/>
      <c r="BG184" s="1045"/>
      <c r="BH184" s="1034"/>
    </row>
    <row r="185" spans="1:60" s="120" customFormat="1" hidden="1" outlineLevel="1" x14ac:dyDescent="0.25">
      <c r="A185" s="216" t="s">
        <v>714</v>
      </c>
      <c r="B185" s="215"/>
      <c r="C185" s="100"/>
      <c r="D185" s="100">
        <f t="shared" ref="D185:AW185" si="140">D186/D181</f>
        <v>0.20257936916706154</v>
      </c>
      <c r="E185" s="100">
        <f t="shared" si="140"/>
        <v>0.37473749394216788</v>
      </c>
      <c r="F185" s="100">
        <f t="shared" si="140"/>
        <v>7.1446905488476764E-2</v>
      </c>
      <c r="G185" s="1005">
        <f t="shared" si="140"/>
        <v>1.1867731262259032E-2</v>
      </c>
      <c r="H185" s="1005">
        <f t="shared" si="140"/>
        <v>8.9755563026884325E-3</v>
      </c>
      <c r="I185" s="1005">
        <f t="shared" si="140"/>
        <v>2.6732001227347531E-3</v>
      </c>
      <c r="J185" s="1005">
        <f t="shared" si="140"/>
        <v>7.1490311892242284E-3</v>
      </c>
      <c r="K185" s="100">
        <f t="shared" si="140"/>
        <v>7.8637051215695777E-3</v>
      </c>
      <c r="L185" s="1005">
        <f t="shared" si="140"/>
        <v>5.3782577168853624E-2</v>
      </c>
      <c r="M185" s="1005">
        <f t="shared" si="140"/>
        <v>5.7046366660300711E-2</v>
      </c>
      <c r="N185" s="1005">
        <f t="shared" si="140"/>
        <v>6.4868142240113016E-2</v>
      </c>
      <c r="O185" s="1005">
        <f t="shared" si="140"/>
        <v>7.4421942596327936E-2</v>
      </c>
      <c r="P185" s="100">
        <f t="shared" si="140"/>
        <v>6.3632602729886009E-2</v>
      </c>
      <c r="Q185" s="1005">
        <f t="shared" si="140"/>
        <v>5.212018089822236E-2</v>
      </c>
      <c r="R185" s="1005">
        <f t="shared" si="140"/>
        <v>8.7560500632053659E-2</v>
      </c>
      <c r="S185" s="1005">
        <f t="shared" si="140"/>
        <v>9.8801836831641357E-2</v>
      </c>
      <c r="T185" s="1005">
        <f t="shared" si="140"/>
        <v>8.7172159912910205E-2</v>
      </c>
      <c r="U185" s="100">
        <f t="shared" si="140"/>
        <v>8.154349149272129E-2</v>
      </c>
      <c r="V185" s="1005">
        <f t="shared" si="140"/>
        <v>0.1179107735969686</v>
      </c>
      <c r="W185" s="1005">
        <f t="shared" si="140"/>
        <v>7.459901916652846E-2</v>
      </c>
      <c r="X185" s="1005">
        <f t="shared" si="140"/>
        <v>6.967334612540356E-2</v>
      </c>
      <c r="Y185" s="1005">
        <f t="shared" si="140"/>
        <v>7.9795980488665944E-2</v>
      </c>
      <c r="Z185" s="100">
        <f t="shared" si="140"/>
        <v>7.3687489036755566E-2</v>
      </c>
      <c r="AA185" s="1005">
        <f t="shared" si="140"/>
        <v>8.4174528301886792E-2</v>
      </c>
      <c r="AB185" s="1005">
        <f t="shared" si="140"/>
        <v>9.4533144174623107E-2</v>
      </c>
      <c r="AC185" s="1005">
        <f t="shared" si="140"/>
        <v>0.12877498689104735</v>
      </c>
      <c r="AD185" s="1005">
        <f t="shared" si="140"/>
        <v>0.10658631223875406</v>
      </c>
      <c r="AE185" s="100">
        <f t="shared" si="140"/>
        <v>0.10384336137242901</v>
      </c>
      <c r="AF185" s="1005">
        <f t="shared" si="140"/>
        <v>9.6300355680895469E-2</v>
      </c>
      <c r="AG185" s="1005">
        <f t="shared" si="140"/>
        <v>8.0454933032649611E-2</v>
      </c>
      <c r="AH185" s="1005">
        <f t="shared" si="140"/>
        <v>5.3507545624803435E-2</v>
      </c>
      <c r="AI185" s="1005">
        <f t="shared" si="140"/>
        <v>8.4001044404756531E-2</v>
      </c>
      <c r="AJ185" s="100">
        <f t="shared" si="140"/>
        <v>7.5130557775829457E-2</v>
      </c>
      <c r="AK185" s="1005">
        <f t="shared" si="140"/>
        <v>0.13237389902576924</v>
      </c>
      <c r="AL185" s="1005">
        <f t="shared" si="140"/>
        <v>0.11254375380948066</v>
      </c>
      <c r="AM185" s="1005">
        <f t="shared" si="140"/>
        <v>0.1023725014010835</v>
      </c>
      <c r="AN185" s="1005">
        <f t="shared" si="140"/>
        <v>9.1080679989007124E-2</v>
      </c>
      <c r="AO185" s="100">
        <f t="shared" si="140"/>
        <v>0.10691129148455886</v>
      </c>
      <c r="AP185" s="1005">
        <f t="shared" si="140"/>
        <v>0.10911925175370225</v>
      </c>
      <c r="AQ185" s="1005">
        <f t="shared" si="140"/>
        <v>9.4033597219540452E-2</v>
      </c>
      <c r="AR185" s="1005">
        <f t="shared" si="140"/>
        <v>7.6336880830377082E-2</v>
      </c>
      <c r="AS185" s="1005">
        <f t="shared" si="140"/>
        <v>7.2793643976809111E-2</v>
      </c>
      <c r="AT185" s="100">
        <f t="shared" si="140"/>
        <v>8.4667352034072552E-2</v>
      </c>
      <c r="AU185" s="1005">
        <f t="shared" si="140"/>
        <v>9.9200177738280382E-2</v>
      </c>
      <c r="AV185" s="1005">
        <f t="shared" si="140"/>
        <v>9.3180482069370962E-2</v>
      </c>
      <c r="AW185" s="727">
        <f t="shared" si="140"/>
        <v>7.4147797959691467E-2</v>
      </c>
      <c r="AX185" s="99">
        <v>7.0000000000000007E-2</v>
      </c>
      <c r="AY185" s="100">
        <f>AY186/AY181</f>
        <v>8.1906929472512574E-2</v>
      </c>
      <c r="AZ185" s="99">
        <v>0.08</v>
      </c>
      <c r="BA185" s="99">
        <v>0.08</v>
      </c>
      <c r="BB185" s="99">
        <v>0.09</v>
      </c>
      <c r="BC185" s="99">
        <v>0.09</v>
      </c>
      <c r="BD185" s="100">
        <f>BD186/BD181</f>
        <v>8.5773411703469762E-2</v>
      </c>
      <c r="BE185" s="1011">
        <v>0.09</v>
      </c>
      <c r="BF185" s="1011">
        <v>0.09</v>
      </c>
      <c r="BG185" s="1011">
        <v>0.09</v>
      </c>
      <c r="BH185" s="366"/>
    </row>
    <row r="186" spans="1:60" s="116" customFormat="1" hidden="1" outlineLevel="1" x14ac:dyDescent="0.25">
      <c r="A186" s="779" t="s">
        <v>715</v>
      </c>
      <c r="B186" s="529"/>
      <c r="C186" s="45"/>
      <c r="D186" s="45">
        <f t="shared" ref="D186:AW186" si="141">D226</f>
        <v>19.666</v>
      </c>
      <c r="E186" s="45">
        <f t="shared" si="141"/>
        <v>55.673999999999999</v>
      </c>
      <c r="F186" s="45">
        <f t="shared" si="141"/>
        <v>27.556999999999999</v>
      </c>
      <c r="G186" s="44">
        <f t="shared" si="141"/>
        <v>6.5890000000000004</v>
      </c>
      <c r="H186" s="44">
        <f t="shared" si="141"/>
        <v>3.6040000000000001</v>
      </c>
      <c r="I186" s="44">
        <f t="shared" si="141"/>
        <v>1.1499999999999999</v>
      </c>
      <c r="J186" s="44">
        <f t="shared" si="141"/>
        <v>4.3669999999999991</v>
      </c>
      <c r="K186" s="45">
        <f t="shared" si="141"/>
        <v>15.71</v>
      </c>
      <c r="L186" s="44">
        <f t="shared" si="141"/>
        <v>31.670999999999999</v>
      </c>
      <c r="M186" s="44">
        <f t="shared" si="141"/>
        <v>41.52</v>
      </c>
      <c r="N186" s="44">
        <f t="shared" si="141"/>
        <v>51.889000000000003</v>
      </c>
      <c r="O186" s="44">
        <f t="shared" si="141"/>
        <v>66.265000000000001</v>
      </c>
      <c r="P186" s="45">
        <f t="shared" si="141"/>
        <v>191.34399999999999</v>
      </c>
      <c r="Q186" s="44">
        <f t="shared" si="141"/>
        <v>46.56</v>
      </c>
      <c r="R186" s="44">
        <f t="shared" si="141"/>
        <v>76.885999999999996</v>
      </c>
      <c r="S186" s="44">
        <f t="shared" si="141"/>
        <v>84.233999999999995</v>
      </c>
      <c r="T186" s="44">
        <f t="shared" si="141"/>
        <v>97.372</v>
      </c>
      <c r="U186" s="45">
        <f t="shared" si="141"/>
        <v>305.05200000000002</v>
      </c>
      <c r="V186" s="44">
        <f t="shared" si="141"/>
        <v>120.98399999999999</v>
      </c>
      <c r="W186" s="44">
        <f t="shared" si="141"/>
        <v>88.165000000000006</v>
      </c>
      <c r="X186" s="44">
        <f t="shared" si="141"/>
        <v>149.709</v>
      </c>
      <c r="Y186" s="44">
        <f t="shared" si="141"/>
        <v>159.12299999999999</v>
      </c>
      <c r="Z186" s="45">
        <f t="shared" si="141"/>
        <v>467.97199999999998</v>
      </c>
      <c r="AA186" s="44">
        <f t="shared" si="141"/>
        <v>192.726</v>
      </c>
      <c r="AB186" s="44">
        <f t="shared" si="141"/>
        <v>216.161</v>
      </c>
      <c r="AC186" s="44">
        <f t="shared" si="141"/>
        <v>304.28100000000001</v>
      </c>
      <c r="AD186" s="44">
        <f t="shared" si="141"/>
        <v>288.017</v>
      </c>
      <c r="AE186" s="45">
        <f t="shared" si="141"/>
        <v>1001.1849999999999</v>
      </c>
      <c r="AF186" s="44">
        <f t="shared" si="141"/>
        <v>263.41199999999998</v>
      </c>
      <c r="AG186" s="44">
        <f t="shared" si="141"/>
        <v>270.142</v>
      </c>
      <c r="AH186" s="44">
        <f t="shared" si="141"/>
        <v>326.33</v>
      </c>
      <c r="AI186" s="44">
        <f t="shared" si="141"/>
        <v>531.15699999999993</v>
      </c>
      <c r="AJ186" s="45">
        <f t="shared" si="141"/>
        <v>1391.0409999999999</v>
      </c>
      <c r="AK186" s="44">
        <f t="shared" si="141"/>
        <v>492.94200000000001</v>
      </c>
      <c r="AL186" s="44">
        <f t="shared" si="141"/>
        <v>605.07899999999995</v>
      </c>
      <c r="AM186" s="44">
        <f t="shared" si="141"/>
        <v>548</v>
      </c>
      <c r="AN186" s="44">
        <f t="shared" si="141"/>
        <v>579.97900000000004</v>
      </c>
      <c r="AO186" s="45">
        <f t="shared" si="141"/>
        <v>2226</v>
      </c>
      <c r="AP186" s="44">
        <f t="shared" si="141"/>
        <v>560</v>
      </c>
      <c r="AQ186" s="44">
        <f t="shared" si="141"/>
        <v>487</v>
      </c>
      <c r="AR186" s="44">
        <f t="shared" si="141"/>
        <v>581</v>
      </c>
      <c r="AS186" s="44">
        <f t="shared" si="141"/>
        <v>678</v>
      </c>
      <c r="AT186" s="45">
        <f t="shared" si="141"/>
        <v>2306</v>
      </c>
      <c r="AU186" s="44">
        <f t="shared" si="141"/>
        <v>893</v>
      </c>
      <c r="AV186" s="44">
        <f t="shared" si="141"/>
        <v>951</v>
      </c>
      <c r="AW186" s="729">
        <f t="shared" si="141"/>
        <v>894</v>
      </c>
      <c r="AX186" s="44">
        <f>AX181*AX185</f>
        <v>1041.6278631333359</v>
      </c>
      <c r="AY186" s="45">
        <f>SUM(AU186,AV186,AW186,AX186)</f>
        <v>3779.6278631333362</v>
      </c>
      <c r="AZ186" s="44">
        <f>AZ181*AZ185</f>
        <v>1523.732525922072</v>
      </c>
      <c r="BA186" s="44">
        <f>BA181*BA185</f>
        <v>1770.9096901181595</v>
      </c>
      <c r="BB186" s="44">
        <f>BB181*BB185</f>
        <v>2382.7089461623441</v>
      </c>
      <c r="BC186" s="44">
        <f>BC181*BC185</f>
        <v>2680.2378488930003</v>
      </c>
      <c r="BD186" s="45">
        <f>SUM(AZ186,BA186,BB186,BC186)</f>
        <v>8357.589011095577</v>
      </c>
      <c r="BE186" s="45">
        <f>BE181*BE185</f>
        <v>10681.855413661982</v>
      </c>
      <c r="BF186" s="45">
        <f>BF181*BF185</f>
        <v>12946.39626734882</v>
      </c>
      <c r="BG186" s="45">
        <f>BG181*BG185</f>
        <v>15652.538949892129</v>
      </c>
      <c r="BH186" s="368"/>
    </row>
    <row r="187" spans="1:60" s="116" customFormat="1" hidden="1" outlineLevel="1" x14ac:dyDescent="0.25">
      <c r="A187" s="950" t="s">
        <v>780</v>
      </c>
      <c r="B187" s="543"/>
      <c r="C187" s="191"/>
      <c r="D187" s="191"/>
      <c r="E187" s="191"/>
      <c r="F187" s="191"/>
      <c r="G187" s="1004"/>
      <c r="H187" s="1004">
        <f>H186/G186-1</f>
        <v>-0.4530277735619973</v>
      </c>
      <c r="I187" s="1004">
        <f>I186/H186-1</f>
        <v>-0.6809100998890123</v>
      </c>
      <c r="J187" s="1004">
        <f>J186/I186-1</f>
        <v>2.7973913043478258</v>
      </c>
      <c r="K187" s="191"/>
      <c r="L187" s="1004">
        <f>L186/J186-1</f>
        <v>6.252347149072591</v>
      </c>
      <c r="M187" s="1004">
        <f>M186/L186-1</f>
        <v>0.31097849767926511</v>
      </c>
      <c r="N187" s="1004">
        <f>N186/M186-1</f>
        <v>0.2497350674373795</v>
      </c>
      <c r="O187" s="1004">
        <f>O186/N186-1</f>
        <v>0.27705293992946478</v>
      </c>
      <c r="P187" s="191"/>
      <c r="Q187" s="1004">
        <f>Q186/O186-1</f>
        <v>-0.29736663396966723</v>
      </c>
      <c r="R187" s="1004">
        <f>R186/Q186-1</f>
        <v>0.65133161512027482</v>
      </c>
      <c r="S187" s="1004">
        <f>S186/R186-1</f>
        <v>9.5570064771219654E-2</v>
      </c>
      <c r="T187" s="1004">
        <f>T186/S186-1</f>
        <v>0.15597027328632151</v>
      </c>
      <c r="U187" s="191"/>
      <c r="V187" s="1004">
        <f>V186/T186-1</f>
        <v>0.24249270837612458</v>
      </c>
      <c r="W187" s="1004">
        <f>W186/V186-1</f>
        <v>-0.27126727501157166</v>
      </c>
      <c r="X187" s="1004">
        <f>X186/W186-1</f>
        <v>0.69805478364430318</v>
      </c>
      <c r="Y187" s="1004">
        <f>Y186/X186-1</f>
        <v>6.2881991062661458E-2</v>
      </c>
      <c r="Z187" s="191"/>
      <c r="AA187" s="1004">
        <f>AA186/Y186-1</f>
        <v>0.21117625987443689</v>
      </c>
      <c r="AB187" s="1004">
        <f>AB186/AA186-1</f>
        <v>0.12159750111557344</v>
      </c>
      <c r="AC187" s="1004">
        <f>AC186/AB186-1</f>
        <v>0.40765910594418053</v>
      </c>
      <c r="AD187" s="1004">
        <f>AD186/AC186-1</f>
        <v>-5.3450593366000554E-2</v>
      </c>
      <c r="AE187" s="191"/>
      <c r="AF187" s="1004">
        <f>AF186/AD186-1</f>
        <v>-8.5428985094629928E-2</v>
      </c>
      <c r="AG187" s="1004">
        <f>AG186/AF186-1</f>
        <v>2.5549329567369883E-2</v>
      </c>
      <c r="AH187" s="1004">
        <f>AH186/AG186-1</f>
        <v>0.20799431410147262</v>
      </c>
      <c r="AI187" s="1004">
        <f>AI186/AH186-1</f>
        <v>0.62766831121870492</v>
      </c>
      <c r="AJ187" s="191"/>
      <c r="AK187" s="1004">
        <f>AK186/AI186-1</f>
        <v>-7.194671255391516E-2</v>
      </c>
      <c r="AL187" s="1004">
        <f>AL186/AK186-1</f>
        <v>0.22748518081234703</v>
      </c>
      <c r="AM187" s="1004">
        <f>AM186/AL186-1</f>
        <v>-9.4333136664799033E-2</v>
      </c>
      <c r="AN187" s="1004">
        <f>AN186/AM186-1</f>
        <v>5.8355839416058375E-2</v>
      </c>
      <c r="AO187" s="191"/>
      <c r="AP187" s="1004">
        <f>AP186/AN186-1</f>
        <v>-3.4447798972031762E-2</v>
      </c>
      <c r="AQ187" s="1004">
        <f>AQ186/AP186-1</f>
        <v>-0.13035714285714284</v>
      </c>
      <c r="AR187" s="1004">
        <f>AR186/AQ186-1</f>
        <v>0.19301848049281323</v>
      </c>
      <c r="AS187" s="1004">
        <f>AS186/AR186-1</f>
        <v>0.16695352839931155</v>
      </c>
      <c r="AT187" s="191"/>
      <c r="AU187" s="1004">
        <f>AU186/AS186-1</f>
        <v>0.31710914454277295</v>
      </c>
      <c r="AV187" s="1004">
        <f>AV186/AU186-1</f>
        <v>6.4949608062709885E-2</v>
      </c>
      <c r="AW187" s="820">
        <f>AW186/AV186-1</f>
        <v>-5.9936908517350118E-2</v>
      </c>
      <c r="AX187" s="1004">
        <f>AX186/AW186-1</f>
        <v>0.16513183795675168</v>
      </c>
      <c r="AY187" s="191"/>
      <c r="AZ187" s="1004">
        <f>AZ186/AX186-1</f>
        <v>0.46283771762643711</v>
      </c>
      <c r="BA187" s="1004">
        <f>BA186/AZ186-1</f>
        <v>0.16221821086775745</v>
      </c>
      <c r="BB187" s="1004">
        <f>BB186/BA186-1</f>
        <v>0.34547174226787591</v>
      </c>
      <c r="BC187" s="1004">
        <f>BC186/BB186-1</f>
        <v>0.12487001537047338</v>
      </c>
      <c r="BD187" s="191"/>
      <c r="BE187" s="191"/>
      <c r="BF187" s="191"/>
      <c r="BG187" s="191"/>
      <c r="BH187" s="368"/>
    </row>
    <row r="188" spans="1:60" s="574" customFormat="1" hidden="1" outlineLevel="1" x14ac:dyDescent="0.25">
      <c r="A188" s="658" t="s">
        <v>716</v>
      </c>
      <c r="B188" s="237"/>
      <c r="C188" s="191"/>
      <c r="D188" s="191"/>
      <c r="E188" s="191">
        <f>E186/D186-1</f>
        <v>1.8309773212651277</v>
      </c>
      <c r="F188" s="191">
        <f>F186/E186-1</f>
        <v>-0.505029277580199</v>
      </c>
      <c r="G188" s="1004"/>
      <c r="H188" s="1004"/>
      <c r="I188" s="1004"/>
      <c r="J188" s="1004"/>
      <c r="K188" s="191">
        <f t="shared" ref="K188:BD188" si="142">K186/F186-1</f>
        <v>-0.42990891606488368</v>
      </c>
      <c r="L188" s="1004">
        <f t="shared" si="142"/>
        <v>3.8066474427075425</v>
      </c>
      <c r="M188" s="1004">
        <f t="shared" si="142"/>
        <v>10.520532741398446</v>
      </c>
      <c r="N188" s="1004">
        <f t="shared" si="142"/>
        <v>44.120869565217397</v>
      </c>
      <c r="O188" s="1004">
        <f t="shared" si="142"/>
        <v>14.174032516601789</v>
      </c>
      <c r="P188" s="191">
        <f t="shared" si="142"/>
        <v>11.179758115849776</v>
      </c>
      <c r="Q188" s="1004">
        <f t="shared" si="142"/>
        <v>0.47011461589466719</v>
      </c>
      <c r="R188" s="1004">
        <f t="shared" si="142"/>
        <v>0.85178227360308267</v>
      </c>
      <c r="S188" s="1004">
        <f t="shared" si="142"/>
        <v>0.62334984293395501</v>
      </c>
      <c r="T188" s="1004">
        <f t="shared" si="142"/>
        <v>0.46943333584848701</v>
      </c>
      <c r="U188" s="191">
        <f t="shared" si="142"/>
        <v>0.59425955347437087</v>
      </c>
      <c r="V188" s="1004">
        <f t="shared" si="142"/>
        <v>1.5984536082474223</v>
      </c>
      <c r="W188" s="1004">
        <f t="shared" si="142"/>
        <v>0.14669770829539863</v>
      </c>
      <c r="X188" s="1004">
        <f t="shared" si="142"/>
        <v>0.77729895291687456</v>
      </c>
      <c r="Y188" s="1004">
        <f t="shared" si="142"/>
        <v>0.63417614920100229</v>
      </c>
      <c r="Z188" s="191">
        <f t="shared" si="142"/>
        <v>0.5340728793779419</v>
      </c>
      <c r="AA188" s="1004">
        <f t="shared" si="142"/>
        <v>0.59298750247966669</v>
      </c>
      <c r="AB188" s="1004">
        <f t="shared" si="142"/>
        <v>1.451777916406737</v>
      </c>
      <c r="AC188" s="1004">
        <f t="shared" si="142"/>
        <v>1.032483017053083</v>
      </c>
      <c r="AD188" s="1004">
        <f t="shared" si="142"/>
        <v>0.81002746303174278</v>
      </c>
      <c r="AE188" s="191">
        <f t="shared" si="142"/>
        <v>1.1394121870539262</v>
      </c>
      <c r="AF188" s="1004">
        <f t="shared" si="142"/>
        <v>0.36676940319417195</v>
      </c>
      <c r="AG188" s="1004">
        <f t="shared" si="142"/>
        <v>0.2497258987513935</v>
      </c>
      <c r="AH188" s="1004">
        <f t="shared" si="142"/>
        <v>7.2462625007805315E-2</v>
      </c>
      <c r="AI188" s="1004">
        <f t="shared" si="142"/>
        <v>0.84418628067093238</v>
      </c>
      <c r="AJ188" s="191">
        <f t="shared" si="142"/>
        <v>0.38939456743758649</v>
      </c>
      <c r="AK188" s="1004">
        <f t="shared" si="142"/>
        <v>0.87137260261491511</v>
      </c>
      <c r="AL188" s="1004">
        <f t="shared" si="142"/>
        <v>1.2398553353421531</v>
      </c>
      <c r="AM188" s="1004">
        <f t="shared" si="142"/>
        <v>0.67928170869978244</v>
      </c>
      <c r="AN188" s="1004">
        <f t="shared" si="142"/>
        <v>9.1916326058020692E-2</v>
      </c>
      <c r="AO188" s="191">
        <f t="shared" si="142"/>
        <v>0.60024039550236119</v>
      </c>
      <c r="AP188" s="1004">
        <f t="shared" si="142"/>
        <v>0.13603628824486447</v>
      </c>
      <c r="AQ188" s="1004">
        <f t="shared" si="142"/>
        <v>-0.19514641889736706</v>
      </c>
      <c r="AR188" s="1004">
        <f t="shared" si="142"/>
        <v>6.0218978102189791E-2</v>
      </c>
      <c r="AS188" s="1004">
        <f t="shared" si="142"/>
        <v>0.16900784338743291</v>
      </c>
      <c r="AT188" s="191">
        <f t="shared" si="142"/>
        <v>3.5938903863432126E-2</v>
      </c>
      <c r="AU188" s="1004">
        <f t="shared" si="142"/>
        <v>0.59464285714285725</v>
      </c>
      <c r="AV188" s="1004">
        <f t="shared" si="142"/>
        <v>0.95277207392197116</v>
      </c>
      <c r="AW188" s="820">
        <f t="shared" si="142"/>
        <v>0.53872633390705671</v>
      </c>
      <c r="AX188" s="1004">
        <f t="shared" si="142"/>
        <v>0.53632428190757508</v>
      </c>
      <c r="AY188" s="191">
        <f t="shared" si="142"/>
        <v>0.63904070387395318</v>
      </c>
      <c r="AZ188" s="1004">
        <f t="shared" si="142"/>
        <v>0.70630741984554546</v>
      </c>
      <c r="BA188" s="1004">
        <f t="shared" si="142"/>
        <v>0.86215529980879024</v>
      </c>
      <c r="BB188" s="1004">
        <f t="shared" si="142"/>
        <v>1.6652225348572083</v>
      </c>
      <c r="BC188" s="1004">
        <f t="shared" si="142"/>
        <v>1.573124187395043</v>
      </c>
      <c r="BD188" s="191">
        <f t="shared" si="142"/>
        <v>1.211220076086295</v>
      </c>
      <c r="BE188" s="191">
        <f>BE186/BD186-1</f>
        <v>0.27810250055137886</v>
      </c>
      <c r="BF188" s="191">
        <f>BF186/BE186-1</f>
        <v>0.21199883035212341</v>
      </c>
      <c r="BG188" s="191">
        <f>BG186/BF186-1</f>
        <v>0.20902671497614178</v>
      </c>
      <c r="BH188" s="572"/>
    </row>
    <row r="189" spans="1:60" s="112" customFormat="1" hidden="1" outlineLevel="1" x14ac:dyDescent="0.25">
      <c r="A189" s="643"/>
      <c r="B189" s="507"/>
      <c r="C189" s="1045"/>
      <c r="D189" s="1045"/>
      <c r="E189" s="1045"/>
      <c r="F189" s="1045"/>
      <c r="G189" s="1046"/>
      <c r="H189" s="1046"/>
      <c r="I189" s="1046"/>
      <c r="J189" s="1046"/>
      <c r="K189" s="1045"/>
      <c r="L189" s="1046"/>
      <c r="M189" s="1046"/>
      <c r="N189" s="1046"/>
      <c r="O189" s="1046"/>
      <c r="P189" s="1045"/>
      <c r="Q189" s="1046"/>
      <c r="R189" s="1046"/>
      <c r="S189" s="1046"/>
      <c r="T189" s="1046"/>
      <c r="U189" s="1045"/>
      <c r="V189" s="1046"/>
      <c r="W189" s="1046"/>
      <c r="X189" s="1046"/>
      <c r="Y189" s="1046"/>
      <c r="Z189" s="1045"/>
      <c r="AA189" s="1046"/>
      <c r="AB189" s="1046"/>
      <c r="AC189" s="1046"/>
      <c r="AD189" s="1046"/>
      <c r="AE189" s="1045"/>
      <c r="AF189" s="1046"/>
      <c r="AG189" s="1046"/>
      <c r="AH189" s="1046"/>
      <c r="AI189" s="1046"/>
      <c r="AJ189" s="1045"/>
      <c r="AK189" s="1046"/>
      <c r="AL189" s="1046"/>
      <c r="AM189" s="1046"/>
      <c r="AN189" s="1046"/>
      <c r="AO189" s="1045"/>
      <c r="AP189" s="1046"/>
      <c r="AQ189" s="1046"/>
      <c r="AR189" s="1046"/>
      <c r="AS189" s="1046"/>
      <c r="AT189" s="1045"/>
      <c r="AU189" s="1046"/>
      <c r="AV189" s="1046"/>
      <c r="AW189" s="1047"/>
      <c r="AX189" s="1046"/>
      <c r="AY189" s="1045"/>
      <c r="AZ189" s="1046"/>
      <c r="BA189" s="1046"/>
      <c r="BB189" s="1046"/>
      <c r="BC189" s="1046"/>
      <c r="BD189" s="1045"/>
      <c r="BE189" s="1045"/>
      <c r="BF189" s="1045"/>
      <c r="BG189" s="1045"/>
      <c r="BH189" s="1034"/>
    </row>
    <row r="190" spans="1:60" s="116" customFormat="1" hidden="1" outlineLevel="1" x14ac:dyDescent="0.25">
      <c r="A190" s="645" t="s">
        <v>737</v>
      </c>
      <c r="B190" s="531"/>
      <c r="C190" s="438"/>
      <c r="D190" s="438">
        <f t="shared" ref="D190:AW190" si="143">D243</f>
        <v>13.635000000000002</v>
      </c>
      <c r="E190" s="438">
        <f t="shared" si="143"/>
        <v>28.509</v>
      </c>
      <c r="F190" s="438">
        <f t="shared" si="143"/>
        <v>16.025999999999996</v>
      </c>
      <c r="G190" s="437">
        <f t="shared" si="143"/>
        <v>2.9350000000000005</v>
      </c>
      <c r="H190" s="437">
        <f t="shared" si="143"/>
        <v>2.5470000000000002</v>
      </c>
      <c r="I190" s="437">
        <f t="shared" si="143"/>
        <v>-2.4450000000000003</v>
      </c>
      <c r="J190" s="437">
        <f t="shared" si="143"/>
        <v>-0.68299999999999983</v>
      </c>
      <c r="K190" s="438">
        <f t="shared" si="143"/>
        <v>2.354000000000001</v>
      </c>
      <c r="L190" s="437">
        <f t="shared" si="143"/>
        <v>2.5109999999999992</v>
      </c>
      <c r="M190" s="437">
        <f t="shared" si="143"/>
        <v>4.9770000000000039</v>
      </c>
      <c r="N190" s="437">
        <f t="shared" si="143"/>
        <v>4.9230000000000018</v>
      </c>
      <c r="O190" s="437">
        <f t="shared" si="143"/>
        <v>7.9979999999999976</v>
      </c>
      <c r="P190" s="438">
        <f t="shared" si="143"/>
        <v>20.407999999999987</v>
      </c>
      <c r="Q190" s="437">
        <f t="shared" si="143"/>
        <v>-1.5019999999999953</v>
      </c>
      <c r="R190" s="437">
        <f t="shared" si="143"/>
        <v>1.6659999999999968</v>
      </c>
      <c r="S190" s="437">
        <f t="shared" si="143"/>
        <v>7.6700000000000017</v>
      </c>
      <c r="T190" s="437">
        <f t="shared" si="143"/>
        <v>-2.0019999999999953</v>
      </c>
      <c r="U190" s="438">
        <f t="shared" si="143"/>
        <v>5.8319999999999936</v>
      </c>
      <c r="V190" s="437">
        <f t="shared" si="143"/>
        <v>5.7199999999999989</v>
      </c>
      <c r="W190" s="437">
        <f t="shared" si="143"/>
        <v>2.2060000000000031</v>
      </c>
      <c r="X190" s="437">
        <f t="shared" si="143"/>
        <v>5.0690000000000168</v>
      </c>
      <c r="Y190" s="437">
        <f t="shared" si="143"/>
        <v>-18.028999999999996</v>
      </c>
      <c r="Z190" s="438">
        <f t="shared" si="143"/>
        <v>-4.4900000000000091</v>
      </c>
      <c r="AA190" s="437">
        <f t="shared" si="143"/>
        <v>-21.150000000000006</v>
      </c>
      <c r="AB190" s="437">
        <f t="shared" si="143"/>
        <v>-55.007999999999981</v>
      </c>
      <c r="AC190" s="437">
        <f t="shared" si="143"/>
        <v>-63.120000000000005</v>
      </c>
      <c r="AD190" s="437">
        <f t="shared" si="143"/>
        <v>-88.559000000000026</v>
      </c>
      <c r="AE190" s="438">
        <f t="shared" si="143"/>
        <v>-227.83699999999999</v>
      </c>
      <c r="AF190" s="437">
        <f t="shared" si="143"/>
        <v>-117.55700000000002</v>
      </c>
      <c r="AG190" s="437">
        <f t="shared" si="143"/>
        <v>-116.23200000000003</v>
      </c>
      <c r="AH190" s="437">
        <f t="shared" si="143"/>
        <v>-118.66200000000003</v>
      </c>
      <c r="AI190" s="437">
        <f t="shared" si="143"/>
        <v>-136.86200000000008</v>
      </c>
      <c r="AJ190" s="438">
        <f t="shared" si="143"/>
        <v>-489.3130000000001</v>
      </c>
      <c r="AK190" s="437">
        <f t="shared" si="143"/>
        <v>-192.59100000000001</v>
      </c>
      <c r="AL190" s="437">
        <f t="shared" si="143"/>
        <v>-137.9430000000001</v>
      </c>
      <c r="AM190" s="437">
        <f t="shared" si="143"/>
        <v>-119</v>
      </c>
      <c r="AN190" s="437">
        <f t="shared" si="143"/>
        <v>-94.465999999999667</v>
      </c>
      <c r="AO190" s="438">
        <f t="shared" si="143"/>
        <v>-544</v>
      </c>
      <c r="AP190" s="437">
        <f t="shared" si="143"/>
        <v>-88</v>
      </c>
      <c r="AQ190" s="437">
        <f t="shared" si="143"/>
        <v>-71</v>
      </c>
      <c r="AR190" s="437">
        <f t="shared" si="143"/>
        <v>-63</v>
      </c>
      <c r="AS190" s="437">
        <f t="shared" si="143"/>
        <v>-143</v>
      </c>
      <c r="AT190" s="438">
        <f t="shared" si="143"/>
        <v>-365</v>
      </c>
      <c r="AU190" s="437">
        <f t="shared" si="143"/>
        <v>-69</v>
      </c>
      <c r="AV190" s="437">
        <f t="shared" si="143"/>
        <v>-35</v>
      </c>
      <c r="AW190" s="725">
        <f t="shared" si="143"/>
        <v>-16</v>
      </c>
      <c r="AX190" s="437">
        <f>AX186*AX191</f>
        <v>-32.201356948782788</v>
      </c>
      <c r="AY190" s="438">
        <f>SUM(AU190,AV190,AW190,AX190)</f>
        <v>-152.2013569487828</v>
      </c>
      <c r="AZ190" s="437">
        <f>AZ186*AZ191</f>
        <v>-33.929923043628676</v>
      </c>
      <c r="BA190" s="437">
        <f>BA186*BA191</f>
        <v>-38.611790141535266</v>
      </c>
      <c r="BB190" s="437">
        <f>BB186*BB191</f>
        <v>-54.557105288527055</v>
      </c>
      <c r="BC190" s="437">
        <f>BC186*BC191</f>
        <v>-56.055711942924425</v>
      </c>
      <c r="BD190" s="438">
        <f>SUM(AZ190,BA190,BB190,BC190)</f>
        <v>-183.15453041661542</v>
      </c>
      <c r="BE190" s="438">
        <f>BE186*BE191</f>
        <v>-180.68098624447981</v>
      </c>
      <c r="BF190" s="438">
        <f>BF186*BF191</f>
        <v>-193.09235146047999</v>
      </c>
      <c r="BG190" s="438">
        <f>BG186*BG191</f>
        <v>-202.14873347349848</v>
      </c>
      <c r="BH190" s="368"/>
    </row>
    <row r="191" spans="1:60" s="120" customFormat="1" hidden="1" outlineLevel="1" x14ac:dyDescent="0.25">
      <c r="A191" s="983" t="s">
        <v>738</v>
      </c>
      <c r="B191" s="215"/>
      <c r="C191" s="100"/>
      <c r="D191" s="100">
        <f t="shared" ref="D191:AW191" si="144">D190/D186</f>
        <v>0.69332858740974279</v>
      </c>
      <c r="E191" s="100">
        <f t="shared" si="144"/>
        <v>0.51207026619247764</v>
      </c>
      <c r="F191" s="100">
        <f t="shared" si="144"/>
        <v>0.58155822477047558</v>
      </c>
      <c r="G191" s="1005">
        <f t="shared" si="144"/>
        <v>0.44543936864471095</v>
      </c>
      <c r="H191" s="1005">
        <f t="shared" si="144"/>
        <v>0.70671476137624867</v>
      </c>
      <c r="I191" s="1005">
        <f t="shared" si="144"/>
        <v>-2.1260869565217395</v>
      </c>
      <c r="J191" s="1005">
        <f t="shared" si="144"/>
        <v>-0.15640027478818411</v>
      </c>
      <c r="K191" s="100">
        <f t="shared" si="144"/>
        <v>0.14984086569064295</v>
      </c>
      <c r="L191" s="1005">
        <f t="shared" si="144"/>
        <v>7.9283887468030667E-2</v>
      </c>
      <c r="M191" s="1005">
        <f t="shared" si="144"/>
        <v>0.11986994219653188</v>
      </c>
      <c r="N191" s="1005">
        <f t="shared" si="144"/>
        <v>9.4875599838116012E-2</v>
      </c>
      <c r="O191" s="1005">
        <f t="shared" si="144"/>
        <v>0.12069720063381872</v>
      </c>
      <c r="P191" s="100">
        <f t="shared" si="144"/>
        <v>0.10665607492265233</v>
      </c>
      <c r="Q191" s="1005">
        <f t="shared" si="144"/>
        <v>-3.2259450171821205E-2</v>
      </c>
      <c r="R191" s="1005">
        <f t="shared" si="144"/>
        <v>2.1668444190099587E-2</v>
      </c>
      <c r="S191" s="1005">
        <f t="shared" si="144"/>
        <v>9.1055868176745755E-2</v>
      </c>
      <c r="T191" s="1005">
        <f t="shared" si="144"/>
        <v>-2.0560325350203298E-2</v>
      </c>
      <c r="U191" s="100">
        <f t="shared" si="144"/>
        <v>1.9118052004248435E-2</v>
      </c>
      <c r="V191" s="1005">
        <f t="shared" si="144"/>
        <v>4.7278979038550543E-2</v>
      </c>
      <c r="W191" s="1005">
        <f t="shared" si="144"/>
        <v>2.5021266942664357E-2</v>
      </c>
      <c r="X191" s="1005">
        <f t="shared" si="144"/>
        <v>3.3859019831807148E-2</v>
      </c>
      <c r="Y191" s="1005">
        <f t="shared" si="144"/>
        <v>-0.11330228816701544</v>
      </c>
      <c r="Z191" s="100">
        <f t="shared" si="144"/>
        <v>-9.5945911293838296E-3</v>
      </c>
      <c r="AA191" s="1005">
        <f t="shared" si="144"/>
        <v>-0.10974129074437287</v>
      </c>
      <c r="AB191" s="1005">
        <f t="shared" si="144"/>
        <v>-0.25447698706057048</v>
      </c>
      <c r="AC191" s="1005">
        <f t="shared" si="144"/>
        <v>-0.20743983357488638</v>
      </c>
      <c r="AD191" s="1005">
        <f t="shared" si="144"/>
        <v>-0.30747837801240907</v>
      </c>
      <c r="AE191" s="100">
        <f t="shared" si="144"/>
        <v>-0.22756733271073779</v>
      </c>
      <c r="AF191" s="1005">
        <f t="shared" si="144"/>
        <v>-0.44628566656036939</v>
      </c>
      <c r="AG191" s="1005">
        <f t="shared" si="144"/>
        <v>-0.43026260263120886</v>
      </c>
      <c r="AH191" s="1005">
        <f t="shared" si="144"/>
        <v>-0.36362577758710518</v>
      </c>
      <c r="AI191" s="1005">
        <f t="shared" si="144"/>
        <v>-0.25766769523888433</v>
      </c>
      <c r="AJ191" s="100">
        <f t="shared" si="144"/>
        <v>-0.35176030037935629</v>
      </c>
      <c r="AK191" s="1005">
        <f t="shared" si="144"/>
        <v>-0.390697079981012</v>
      </c>
      <c r="AL191" s="1005">
        <f t="shared" si="144"/>
        <v>-0.22797519001651043</v>
      </c>
      <c r="AM191" s="1005">
        <f t="shared" si="144"/>
        <v>-0.21715328467153286</v>
      </c>
      <c r="AN191" s="1005">
        <f t="shared" si="144"/>
        <v>-0.16287831111126377</v>
      </c>
      <c r="AO191" s="100">
        <f t="shared" si="144"/>
        <v>-0.24438454627133874</v>
      </c>
      <c r="AP191" s="1005">
        <f t="shared" si="144"/>
        <v>-0.15714285714285714</v>
      </c>
      <c r="AQ191" s="1005">
        <f t="shared" si="144"/>
        <v>-0.14579055441478439</v>
      </c>
      <c r="AR191" s="1005">
        <f t="shared" si="144"/>
        <v>-0.10843373493975904</v>
      </c>
      <c r="AS191" s="1005">
        <f t="shared" si="144"/>
        <v>-0.21091445427728614</v>
      </c>
      <c r="AT191" s="100">
        <f t="shared" si="144"/>
        <v>-0.15828274067649609</v>
      </c>
      <c r="AU191" s="1005">
        <f t="shared" si="144"/>
        <v>-7.7267637178051518E-2</v>
      </c>
      <c r="AV191" s="1005">
        <f t="shared" si="144"/>
        <v>-3.6803364879074658E-2</v>
      </c>
      <c r="AW191" s="727">
        <f t="shared" si="144"/>
        <v>-1.7897091722595078E-2</v>
      </c>
      <c r="AX191" s="1005">
        <f>AS191+AX192/10000</f>
        <v>-3.0914454277286146E-2</v>
      </c>
      <c r="AY191" s="100">
        <f>AY190/AY186</f>
        <v>-4.0268873672289762E-2</v>
      </c>
      <c r="AZ191" s="366">
        <f t="shared" ref="AZ191" si="145">AU191+AZ192/10000</f>
        <v>-2.2267637178051518E-2</v>
      </c>
      <c r="BA191" s="366">
        <f t="shared" ref="BA191" si="146">AV191+BA192/10000</f>
        <v>-2.1803364879074659E-2</v>
      </c>
      <c r="BB191" s="366">
        <f t="shared" ref="BB191" si="147">AW191+BB192/10000</f>
        <v>-2.2897091722595079E-2</v>
      </c>
      <c r="BC191" s="366">
        <f t="shared" ref="BC191" si="148">AX191+BC192/10000</f>
        <v>-2.0914454277286144E-2</v>
      </c>
      <c r="BD191" s="100">
        <f>BD190/BD186</f>
        <v>-2.1914756776560625E-2</v>
      </c>
      <c r="BE191" s="100">
        <f>BD191+BE192/10000</f>
        <v>-1.6914756776560624E-2</v>
      </c>
      <c r="BF191" s="100">
        <f t="shared" ref="BF191" si="149">BE191+BF192/10000</f>
        <v>-1.4914756776560624E-2</v>
      </c>
      <c r="BG191" s="100">
        <f t="shared" ref="BG191" si="150">BF191+BG192/10000</f>
        <v>-1.2914756776560624E-2</v>
      </c>
      <c r="BH191" s="366"/>
    </row>
    <row r="192" spans="1:60" s="993" customFormat="1" hidden="1" outlineLevel="1" x14ac:dyDescent="0.25">
      <c r="A192" s="222" t="s">
        <v>805</v>
      </c>
      <c r="B192" s="919"/>
      <c r="C192" s="440"/>
      <c r="D192" s="440"/>
      <c r="E192" s="440">
        <f>(E191-D191)*10000</f>
        <v>-1812.5832121726514</v>
      </c>
      <c r="F192" s="440">
        <f>(F191-E191)*10000</f>
        <v>694.87958577997938</v>
      </c>
      <c r="G192" s="439"/>
      <c r="H192" s="439"/>
      <c r="I192" s="439"/>
      <c r="J192" s="439"/>
      <c r="K192" s="440">
        <f t="shared" ref="K192:AW192" si="151">(K191-F191)*10000</f>
        <v>-4317.1735907983266</v>
      </c>
      <c r="L192" s="439">
        <f t="shared" si="151"/>
        <v>-3661.5548117668027</v>
      </c>
      <c r="M192" s="439">
        <f t="shared" si="151"/>
        <v>-5868.448191797168</v>
      </c>
      <c r="N192" s="439">
        <f t="shared" si="151"/>
        <v>22209.625563598554</v>
      </c>
      <c r="O192" s="439">
        <f t="shared" si="151"/>
        <v>2770.974754220028</v>
      </c>
      <c r="P192" s="440">
        <f t="shared" si="151"/>
        <v>-431.84790767990614</v>
      </c>
      <c r="Q192" s="439">
        <f t="shared" si="151"/>
        <v>-1115.4333763985187</v>
      </c>
      <c r="R192" s="439">
        <f t="shared" si="151"/>
        <v>-982.01498006432303</v>
      </c>
      <c r="S192" s="439">
        <f t="shared" si="151"/>
        <v>-38.197316613702569</v>
      </c>
      <c r="T192" s="439">
        <f t="shared" si="151"/>
        <v>-1412.5752598402203</v>
      </c>
      <c r="U192" s="440">
        <f t="shared" si="151"/>
        <v>-875.38022918403897</v>
      </c>
      <c r="V192" s="439">
        <f t="shared" si="151"/>
        <v>795.38429210371737</v>
      </c>
      <c r="W192" s="439">
        <f t="shared" si="151"/>
        <v>33.528227525647694</v>
      </c>
      <c r="X192" s="439">
        <f t="shared" si="151"/>
        <v>-571.9684834493861</v>
      </c>
      <c r="Y192" s="439">
        <f t="shared" si="151"/>
        <v>-927.41962816812145</v>
      </c>
      <c r="Z192" s="440">
        <f t="shared" si="151"/>
        <v>-287.12643133632264</v>
      </c>
      <c r="AA192" s="439">
        <f t="shared" si="151"/>
        <v>-1570.202697829234</v>
      </c>
      <c r="AB192" s="439">
        <f t="shared" si="151"/>
        <v>-2794.9825400323484</v>
      </c>
      <c r="AC192" s="439">
        <f t="shared" si="151"/>
        <v>-2412.9885340669352</v>
      </c>
      <c r="AD192" s="439">
        <f t="shared" si="151"/>
        <v>-1941.7608984539363</v>
      </c>
      <c r="AE192" s="440">
        <f t="shared" si="151"/>
        <v>-2179.7274158135397</v>
      </c>
      <c r="AF192" s="439">
        <f t="shared" si="151"/>
        <v>-3365.443758159965</v>
      </c>
      <c r="AG192" s="439">
        <f t="shared" si="151"/>
        <v>-1757.8561557063838</v>
      </c>
      <c r="AH192" s="439">
        <f t="shared" si="151"/>
        <v>-1561.8594401221881</v>
      </c>
      <c r="AI192" s="439">
        <f t="shared" si="151"/>
        <v>498.10682773524741</v>
      </c>
      <c r="AJ192" s="440">
        <f t="shared" si="151"/>
        <v>-1241.9296766861851</v>
      </c>
      <c r="AK192" s="439">
        <f t="shared" si="151"/>
        <v>555.88586579357388</v>
      </c>
      <c r="AL192" s="439">
        <f t="shared" si="151"/>
        <v>2022.8741261469843</v>
      </c>
      <c r="AM192" s="439">
        <f t="shared" si="151"/>
        <v>1464.7249291557232</v>
      </c>
      <c r="AN192" s="439">
        <f t="shared" si="151"/>
        <v>947.89384127620553</v>
      </c>
      <c r="AO192" s="440">
        <f t="shared" si="151"/>
        <v>1073.7575410801755</v>
      </c>
      <c r="AP192" s="439">
        <f t="shared" si="151"/>
        <v>2335.5422283815487</v>
      </c>
      <c r="AQ192" s="439">
        <f t="shared" si="151"/>
        <v>821.8463560172604</v>
      </c>
      <c r="AR192" s="439">
        <f t="shared" si="151"/>
        <v>1087.1954973177383</v>
      </c>
      <c r="AS192" s="439">
        <f t="shared" si="151"/>
        <v>-480.36143166022367</v>
      </c>
      <c r="AT192" s="440">
        <f t="shared" si="151"/>
        <v>861.01805594842654</v>
      </c>
      <c r="AU192" s="439">
        <f t="shared" si="151"/>
        <v>798.75219964805626</v>
      </c>
      <c r="AV192" s="439">
        <f t="shared" si="151"/>
        <v>1089.8718953570974</v>
      </c>
      <c r="AW192" s="726">
        <f t="shared" si="151"/>
        <v>905.36643217163953</v>
      </c>
      <c r="AX192" s="1006">
        <v>1800</v>
      </c>
      <c r="AY192" s="591">
        <f>(AY191-AT191)*10000</f>
        <v>1180.1386700420633</v>
      </c>
      <c r="AZ192" s="1006">
        <v>550</v>
      </c>
      <c r="BA192" s="1006">
        <v>150</v>
      </c>
      <c r="BB192" s="1006">
        <v>-50</v>
      </c>
      <c r="BC192" s="1006">
        <v>100</v>
      </c>
      <c r="BD192" s="591">
        <f>(BD191-AY191)*10000</f>
        <v>183.54116895729138</v>
      </c>
      <c r="BE192" s="1007">
        <v>50</v>
      </c>
      <c r="BF192" s="1007">
        <v>20</v>
      </c>
      <c r="BG192" s="1007">
        <v>20</v>
      </c>
      <c r="BH192" s="992"/>
    </row>
    <row r="193" spans="1:60" s="112" customFormat="1" collapsed="1" x14ac:dyDescent="0.25">
      <c r="A193" s="643"/>
      <c r="B193" s="507"/>
      <c r="C193" s="1045"/>
      <c r="D193" s="1045"/>
      <c r="E193" s="1045"/>
      <c r="F193" s="1045"/>
      <c r="G193" s="1046"/>
      <c r="H193" s="1046"/>
      <c r="I193" s="1046"/>
      <c r="J193" s="1046"/>
      <c r="K193" s="1045"/>
      <c r="L193" s="1046"/>
      <c r="M193" s="1046"/>
      <c r="N193" s="1046"/>
      <c r="O193" s="1046"/>
      <c r="P193" s="1045"/>
      <c r="Q193" s="1046"/>
      <c r="R193" s="1046"/>
      <c r="S193" s="1046"/>
      <c r="T193" s="1046"/>
      <c r="U193" s="1045"/>
      <c r="V193" s="1046"/>
      <c r="W193" s="1046"/>
      <c r="X193" s="1046"/>
      <c r="Y193" s="1046"/>
      <c r="Z193" s="1045"/>
      <c r="AA193" s="1046"/>
      <c r="AB193" s="1046"/>
      <c r="AC193" s="1046"/>
      <c r="AD193" s="1046"/>
      <c r="AE193" s="1045"/>
      <c r="AF193" s="1046"/>
      <c r="AG193" s="1046"/>
      <c r="AH193" s="1046"/>
      <c r="AI193" s="1046"/>
      <c r="AJ193" s="1045"/>
      <c r="AK193" s="1046"/>
      <c r="AL193" s="1046"/>
      <c r="AM193" s="1046"/>
      <c r="AN193" s="1046"/>
      <c r="AO193" s="1045"/>
      <c r="AP193" s="1046"/>
      <c r="AQ193" s="1046"/>
      <c r="AR193" s="1046"/>
      <c r="AS193" s="1046"/>
      <c r="AT193" s="1045"/>
      <c r="AU193" s="1046"/>
      <c r="AV193" s="1046"/>
      <c r="AW193" s="1047"/>
      <c r="AX193" s="1046"/>
      <c r="AY193" s="1045"/>
      <c r="AZ193" s="1046"/>
      <c r="BA193" s="1046"/>
      <c r="BB193" s="1046"/>
      <c r="BC193" s="1046"/>
      <c r="BD193" s="1045"/>
      <c r="BE193" s="1045"/>
      <c r="BF193" s="1045"/>
      <c r="BG193" s="1045"/>
      <c r="BH193" s="1034"/>
    </row>
    <row r="194" spans="1:60" s="112" customFormat="1" x14ac:dyDescent="0.25">
      <c r="A194" s="1020" t="s">
        <v>690</v>
      </c>
      <c r="B194" s="1020"/>
      <c r="C194" s="1043"/>
      <c r="D194" s="1043"/>
      <c r="E194" s="1043"/>
      <c r="F194" s="1043"/>
      <c r="G194" s="1043"/>
      <c r="H194" s="1043"/>
      <c r="I194" s="1043"/>
      <c r="J194" s="1043"/>
      <c r="K194" s="1043"/>
      <c r="L194" s="1043"/>
      <c r="M194" s="1043"/>
      <c r="N194" s="1043"/>
      <c r="O194" s="1043"/>
      <c r="P194" s="1043"/>
      <c r="Q194" s="1043"/>
      <c r="R194" s="1043"/>
      <c r="S194" s="1043"/>
      <c r="T194" s="1043"/>
      <c r="U194" s="1043"/>
      <c r="V194" s="1043"/>
      <c r="W194" s="1043"/>
      <c r="X194" s="1043"/>
      <c r="Y194" s="1043"/>
      <c r="Z194" s="1043"/>
      <c r="AA194" s="1043"/>
      <c r="AB194" s="1043"/>
      <c r="AC194" s="1043"/>
      <c r="AD194" s="1043"/>
      <c r="AE194" s="1043"/>
      <c r="AF194" s="1043"/>
      <c r="AG194" s="1043"/>
      <c r="AH194" s="1043"/>
      <c r="AI194" s="1043"/>
      <c r="AJ194" s="1043"/>
      <c r="AK194" s="1043"/>
      <c r="AL194" s="1043"/>
      <c r="AM194" s="1043"/>
      <c r="AN194" s="1043"/>
      <c r="AO194" s="1043"/>
      <c r="AP194" s="1043"/>
      <c r="AQ194" s="1043"/>
      <c r="AR194" s="1043"/>
      <c r="AS194" s="1043"/>
      <c r="AT194" s="1043"/>
      <c r="AU194" s="1043"/>
      <c r="AV194" s="1043"/>
      <c r="AW194" s="1044"/>
      <c r="AX194" s="1043"/>
      <c r="AY194" s="1043"/>
      <c r="AZ194" s="1043"/>
      <c r="BA194" s="1043"/>
      <c r="BB194" s="1043"/>
      <c r="BC194" s="1043"/>
      <c r="BD194" s="1043"/>
      <c r="BE194" s="1043"/>
      <c r="BF194" s="1043"/>
      <c r="BG194" s="1043"/>
      <c r="BH194" s="1034"/>
    </row>
    <row r="195" spans="1:60" s="116" customFormat="1" hidden="1" outlineLevel="1" x14ac:dyDescent="0.25">
      <c r="A195" s="905" t="s">
        <v>639</v>
      </c>
      <c r="B195" s="531"/>
      <c r="C195" s="438"/>
      <c r="D195" s="438"/>
      <c r="E195" s="438"/>
      <c r="F195" s="438"/>
      <c r="G195" s="437"/>
      <c r="H195" s="437"/>
      <c r="I195" s="437"/>
      <c r="J195" s="437"/>
      <c r="K195" s="438"/>
      <c r="L195" s="437"/>
      <c r="M195" s="437"/>
      <c r="N195" s="437"/>
      <c r="O195" s="437"/>
      <c r="P195" s="438"/>
      <c r="Q195" s="437"/>
      <c r="R195" s="437"/>
      <c r="S195" s="437"/>
      <c r="T195" s="437"/>
      <c r="U195" s="438"/>
      <c r="V195" s="437"/>
      <c r="W195" s="437"/>
      <c r="X195" s="437"/>
      <c r="Y195" s="437"/>
      <c r="Z195" s="438"/>
      <c r="AA195" s="437"/>
      <c r="AB195" s="437"/>
      <c r="AC195" s="437"/>
      <c r="AD195" s="437"/>
      <c r="AE195" s="438"/>
      <c r="AF195" s="368">
        <v>76</v>
      </c>
      <c r="AG195" s="34">
        <v>84</v>
      </c>
      <c r="AH195" s="34">
        <v>93</v>
      </c>
      <c r="AI195" s="368">
        <v>73</v>
      </c>
      <c r="AJ195" s="33">
        <v>326</v>
      </c>
      <c r="AK195" s="437">
        <v>47</v>
      </c>
      <c r="AL195" s="34">
        <v>29</v>
      </c>
      <c r="AM195" s="34">
        <v>43</v>
      </c>
      <c r="AN195" s="437">
        <v>54</v>
      </c>
      <c r="AO195" s="33">
        <f>SUM(AK195,AL195,AM195,AN195)</f>
        <v>173</v>
      </c>
      <c r="AP195" s="437">
        <v>35</v>
      </c>
      <c r="AQ195" s="34">
        <v>27</v>
      </c>
      <c r="AR195" s="34">
        <v>57</v>
      </c>
      <c r="AS195" s="437">
        <f>AT195-SUM(AP195,AQ195,AR195)</f>
        <v>86</v>
      </c>
      <c r="AT195" s="33">
        <v>205</v>
      </c>
      <c r="AU195" s="437">
        <v>92</v>
      </c>
      <c r="AV195" s="34">
        <v>85</v>
      </c>
      <c r="AW195" s="793">
        <v>83</v>
      </c>
      <c r="AX195" s="437"/>
      <c r="AY195" s="438"/>
      <c r="AZ195" s="437"/>
      <c r="BA195" s="437"/>
      <c r="BB195" s="437"/>
      <c r="BC195" s="437"/>
      <c r="BD195" s="438"/>
      <c r="BE195" s="438"/>
      <c r="BF195" s="438"/>
      <c r="BG195" s="438"/>
      <c r="BH195" s="368"/>
    </row>
    <row r="196" spans="1:60" s="574" customFormat="1" hidden="1" outlineLevel="1" x14ac:dyDescent="0.25">
      <c r="A196" s="950" t="s">
        <v>806</v>
      </c>
      <c r="B196" s="237"/>
      <c r="C196" s="191"/>
      <c r="D196" s="191"/>
      <c r="E196" s="191"/>
      <c r="F196" s="191"/>
      <c r="G196" s="1004"/>
      <c r="H196" s="1004"/>
      <c r="I196" s="1004"/>
      <c r="J196" s="1004"/>
      <c r="K196" s="191"/>
      <c r="L196" s="1004"/>
      <c r="M196" s="1004"/>
      <c r="N196" s="1004"/>
      <c r="O196" s="1004"/>
      <c r="P196" s="191"/>
      <c r="Q196" s="1004"/>
      <c r="R196" s="1004"/>
      <c r="S196" s="1004"/>
      <c r="T196" s="1004"/>
      <c r="U196" s="191"/>
      <c r="V196" s="1004"/>
      <c r="W196" s="1004"/>
      <c r="X196" s="1004"/>
      <c r="Y196" s="1004"/>
      <c r="Z196" s="191"/>
      <c r="AA196" s="1004"/>
      <c r="AB196" s="1004"/>
      <c r="AC196" s="1004"/>
      <c r="AD196" s="1004"/>
      <c r="AE196" s="191"/>
      <c r="AF196" s="1004"/>
      <c r="AG196" s="1004"/>
      <c r="AH196" s="1004"/>
      <c r="AI196" s="1004"/>
      <c r="AJ196" s="191"/>
      <c r="AK196" s="1004">
        <f t="shared" ref="AK196:AW196" si="152">AK195/AF195-1</f>
        <v>-0.38157894736842102</v>
      </c>
      <c r="AL196" s="1004">
        <f t="shared" si="152"/>
        <v>-0.65476190476190477</v>
      </c>
      <c r="AM196" s="1004">
        <f t="shared" si="152"/>
        <v>-0.5376344086021505</v>
      </c>
      <c r="AN196" s="1004">
        <f t="shared" si="152"/>
        <v>-0.26027397260273977</v>
      </c>
      <c r="AO196" s="191">
        <f t="shared" si="152"/>
        <v>-0.46932515337423308</v>
      </c>
      <c r="AP196" s="1004">
        <f t="shared" si="152"/>
        <v>-0.25531914893617025</v>
      </c>
      <c r="AQ196" s="1004">
        <f t="shared" si="152"/>
        <v>-6.8965517241379337E-2</v>
      </c>
      <c r="AR196" s="1004">
        <f t="shared" si="152"/>
        <v>0.32558139534883712</v>
      </c>
      <c r="AS196" s="1004">
        <f t="shared" si="152"/>
        <v>0.59259259259259256</v>
      </c>
      <c r="AT196" s="191">
        <f t="shared" si="152"/>
        <v>0.18497109826589586</v>
      </c>
      <c r="AU196" s="1004">
        <f t="shared" si="152"/>
        <v>1.6285714285714286</v>
      </c>
      <c r="AV196" s="1004">
        <f t="shared" si="152"/>
        <v>2.1481481481481484</v>
      </c>
      <c r="AW196" s="820">
        <f t="shared" si="152"/>
        <v>0.45614035087719307</v>
      </c>
      <c r="AX196" s="1004"/>
      <c r="AY196" s="191"/>
      <c r="AZ196" s="1004"/>
      <c r="BA196" s="1004"/>
      <c r="BB196" s="1004"/>
      <c r="BC196" s="1004"/>
      <c r="BD196" s="191"/>
      <c r="BE196" s="191"/>
      <c r="BF196" s="191"/>
      <c r="BG196" s="191"/>
      <c r="BH196" s="572"/>
    </row>
    <row r="197" spans="1:60" s="116" customFormat="1" hidden="1" outlineLevel="1" x14ac:dyDescent="0.25">
      <c r="A197" s="905" t="s">
        <v>638</v>
      </c>
      <c r="B197" s="531"/>
      <c r="C197" s="438"/>
      <c r="D197" s="438"/>
      <c r="E197" s="438"/>
      <c r="F197" s="438"/>
      <c r="G197" s="437"/>
      <c r="H197" s="437"/>
      <c r="I197" s="437"/>
      <c r="J197" s="437"/>
      <c r="K197" s="438"/>
      <c r="L197" s="437"/>
      <c r="M197" s="437"/>
      <c r="N197" s="437"/>
      <c r="O197" s="437"/>
      <c r="P197" s="438"/>
      <c r="Q197" s="437"/>
      <c r="R197" s="437"/>
      <c r="S197" s="437"/>
      <c r="T197" s="437"/>
      <c r="U197" s="438"/>
      <c r="V197" s="437"/>
      <c r="W197" s="437"/>
      <c r="X197" s="437"/>
      <c r="Y197" s="437"/>
      <c r="Z197" s="438"/>
      <c r="AA197" s="437"/>
      <c r="AB197" s="437"/>
      <c r="AC197" s="437"/>
      <c r="AD197" s="437"/>
      <c r="AE197" s="33">
        <v>358</v>
      </c>
      <c r="AF197" s="368">
        <v>373</v>
      </c>
      <c r="AG197" s="34">
        <v>203</v>
      </c>
      <c r="AH197" s="34">
        <v>240</v>
      </c>
      <c r="AI197" s="368">
        <v>225</v>
      </c>
      <c r="AJ197" s="33">
        <f>SUM(AF197,AG197,AH197,AI197)</f>
        <v>1041</v>
      </c>
      <c r="AK197" s="437">
        <v>229</v>
      </c>
      <c r="AL197" s="34">
        <v>415</v>
      </c>
      <c r="AM197" s="34">
        <v>477</v>
      </c>
      <c r="AN197" s="437">
        <v>530</v>
      </c>
      <c r="AO197" s="33">
        <f>SUM(AK197,AL197,AM197,AN197)</f>
        <v>1651</v>
      </c>
      <c r="AP197" s="437">
        <v>260</v>
      </c>
      <c r="AQ197" s="34">
        <v>419</v>
      </c>
      <c r="AR197" s="34">
        <v>759</v>
      </c>
      <c r="AS197" s="437">
        <v>1584</v>
      </c>
      <c r="AT197" s="33">
        <f>SUM(AP197,AQ197,AR197,AS197)</f>
        <v>3022</v>
      </c>
      <c r="AU197" s="437">
        <v>445</v>
      </c>
      <c r="AV197" s="34">
        <v>1274</v>
      </c>
      <c r="AW197" s="793">
        <v>1295</v>
      </c>
      <c r="AX197" s="437"/>
      <c r="AY197" s="438"/>
      <c r="AZ197" s="437"/>
      <c r="BA197" s="437"/>
      <c r="BB197" s="437"/>
      <c r="BC197" s="437"/>
      <c r="BD197" s="438"/>
      <c r="BE197" s="438"/>
      <c r="BF197" s="438"/>
      <c r="BG197" s="438"/>
      <c r="BH197" s="368"/>
    </row>
    <row r="198" spans="1:60" s="574" customFormat="1" hidden="1" outlineLevel="1" x14ac:dyDescent="0.25">
      <c r="A198" s="950" t="s">
        <v>807</v>
      </c>
      <c r="B198" s="237"/>
      <c r="C198" s="191"/>
      <c r="D198" s="191"/>
      <c r="E198" s="191"/>
      <c r="F198" s="191"/>
      <c r="G198" s="1004"/>
      <c r="H198" s="1004"/>
      <c r="I198" s="1004"/>
      <c r="J198" s="1004"/>
      <c r="K198" s="191"/>
      <c r="L198" s="1004"/>
      <c r="M198" s="1004"/>
      <c r="N198" s="1004"/>
      <c r="O198" s="1004"/>
      <c r="P198" s="191"/>
      <c r="Q198" s="1004"/>
      <c r="R198" s="1004"/>
      <c r="S198" s="1004"/>
      <c r="T198" s="1004"/>
      <c r="U198" s="191"/>
      <c r="V198" s="1004"/>
      <c r="W198" s="1004"/>
      <c r="X198" s="1004"/>
      <c r="Y198" s="1004"/>
      <c r="Z198" s="191"/>
      <c r="AA198" s="1004"/>
      <c r="AB198" s="1004"/>
      <c r="AC198" s="1004"/>
      <c r="AD198" s="1004"/>
      <c r="AE198" s="191"/>
      <c r="AF198" s="1004"/>
      <c r="AG198" s="1004"/>
      <c r="AH198" s="1004"/>
      <c r="AI198" s="1004"/>
      <c r="AJ198" s="191">
        <f t="shared" ref="AJ198:AW198" si="153">AJ197/AE197-1</f>
        <v>1.9078212290502794</v>
      </c>
      <c r="AK198" s="1004">
        <f t="shared" si="153"/>
        <v>-0.386058981233244</v>
      </c>
      <c r="AL198" s="1004">
        <f t="shared" si="153"/>
        <v>1.0443349753694582</v>
      </c>
      <c r="AM198" s="1004">
        <f t="shared" si="153"/>
        <v>0.98750000000000004</v>
      </c>
      <c r="AN198" s="1004">
        <f t="shared" si="153"/>
        <v>1.3555555555555556</v>
      </c>
      <c r="AO198" s="191">
        <f t="shared" si="153"/>
        <v>0.58597502401536983</v>
      </c>
      <c r="AP198" s="1004">
        <f t="shared" si="153"/>
        <v>0.13537117903930129</v>
      </c>
      <c r="AQ198" s="1004">
        <f t="shared" si="153"/>
        <v>9.6385542168675453E-3</v>
      </c>
      <c r="AR198" s="1004">
        <f t="shared" si="153"/>
        <v>0.59119496855345921</v>
      </c>
      <c r="AS198" s="1004">
        <f t="shared" si="153"/>
        <v>1.9886792452830186</v>
      </c>
      <c r="AT198" s="191">
        <f t="shared" si="153"/>
        <v>0.83040581465778307</v>
      </c>
      <c r="AU198" s="1004">
        <f t="shared" si="153"/>
        <v>0.71153846153846145</v>
      </c>
      <c r="AV198" s="1004">
        <f t="shared" si="153"/>
        <v>2.0405727923627683</v>
      </c>
      <c r="AW198" s="820">
        <f t="shared" si="153"/>
        <v>0.70619235836627148</v>
      </c>
      <c r="AX198" s="1004"/>
      <c r="AY198" s="191"/>
      <c r="AZ198" s="1004"/>
      <c r="BA198" s="1004"/>
      <c r="BB198" s="1004"/>
      <c r="BC198" s="1004"/>
      <c r="BD198" s="191"/>
      <c r="BE198" s="191"/>
      <c r="BF198" s="191"/>
      <c r="BG198" s="191"/>
      <c r="BH198" s="572"/>
    </row>
    <row r="199" spans="1:60" s="977" customFormat="1" hidden="1" outlineLevel="1" x14ac:dyDescent="0.25">
      <c r="A199" s="979"/>
      <c r="B199" s="972"/>
      <c r="C199" s="973"/>
      <c r="D199" s="973"/>
      <c r="E199" s="973"/>
      <c r="F199" s="973"/>
      <c r="G199" s="974"/>
      <c r="H199" s="974"/>
      <c r="I199" s="974"/>
      <c r="J199" s="974"/>
      <c r="K199" s="973"/>
      <c r="L199" s="974"/>
      <c r="M199" s="974"/>
      <c r="N199" s="974"/>
      <c r="O199" s="974"/>
      <c r="P199" s="973"/>
      <c r="Q199" s="974"/>
      <c r="R199" s="974"/>
      <c r="S199" s="974"/>
      <c r="T199" s="974"/>
      <c r="U199" s="973"/>
      <c r="V199" s="974"/>
      <c r="W199" s="974"/>
      <c r="X199" s="974"/>
      <c r="Y199" s="974"/>
      <c r="Z199" s="973"/>
      <c r="AA199" s="974"/>
      <c r="AB199" s="974"/>
      <c r="AC199" s="974"/>
      <c r="AD199" s="974"/>
      <c r="AE199" s="973"/>
      <c r="AF199" s="974"/>
      <c r="AG199" s="974"/>
      <c r="AH199" s="974"/>
      <c r="AI199" s="974"/>
      <c r="AJ199" s="973"/>
      <c r="AK199" s="974"/>
      <c r="AL199" s="974"/>
      <c r="AM199" s="974"/>
      <c r="AN199" s="974"/>
      <c r="AO199" s="973"/>
      <c r="AP199" s="974"/>
      <c r="AQ199" s="974"/>
      <c r="AR199" s="974"/>
      <c r="AS199" s="974"/>
      <c r="AT199" s="973"/>
      <c r="AU199" s="974"/>
      <c r="AV199" s="974"/>
      <c r="AW199" s="975"/>
      <c r="AX199" s="974"/>
      <c r="AY199" s="973"/>
      <c r="AZ199" s="974"/>
      <c r="BA199" s="974"/>
      <c r="BB199" s="974"/>
      <c r="BC199" s="974"/>
      <c r="BD199" s="973"/>
      <c r="BE199" s="973"/>
      <c r="BF199" s="973"/>
      <c r="BG199" s="973"/>
      <c r="BH199" s="976"/>
    </row>
    <row r="200" spans="1:60" s="116" customFormat="1" hidden="1" outlineLevel="1" x14ac:dyDescent="0.25">
      <c r="A200" s="905" t="s">
        <v>781</v>
      </c>
      <c r="B200" s="531"/>
      <c r="C200" s="438"/>
      <c r="D200" s="438"/>
      <c r="E200" s="438"/>
      <c r="F200" s="438"/>
      <c r="G200" s="437"/>
      <c r="H200" s="437"/>
      <c r="I200" s="437"/>
      <c r="J200" s="437"/>
      <c r="K200" s="438"/>
      <c r="L200" s="437"/>
      <c r="M200" s="437"/>
      <c r="N200" s="437"/>
      <c r="O200" s="437"/>
      <c r="P200" s="438"/>
      <c r="Q200" s="437"/>
      <c r="R200" s="437"/>
      <c r="S200" s="437"/>
      <c r="T200" s="437"/>
      <c r="U200" s="438"/>
      <c r="V200" s="437"/>
      <c r="W200" s="437"/>
      <c r="X200" s="437"/>
      <c r="Y200" s="437"/>
      <c r="Z200" s="438"/>
      <c r="AA200" s="437"/>
      <c r="AB200" s="437"/>
      <c r="AC200" s="437"/>
      <c r="AD200" s="437"/>
      <c r="AE200" s="438"/>
      <c r="AF200" s="437">
        <v>297.89499999999998</v>
      </c>
      <c r="AG200" s="437">
        <v>234.602</v>
      </c>
      <c r="AH200" s="437">
        <v>259.28800000000001</v>
      </c>
      <c r="AI200" s="437">
        <f>AJ200-SUM(AF200,AG200,AH200)</f>
        <v>264.75799999999992</v>
      </c>
      <c r="AJ200" s="438">
        <v>1056.5429999999999</v>
      </c>
      <c r="AK200" s="437">
        <v>212.1</v>
      </c>
      <c r="AL200" s="437">
        <v>225.76499999999999</v>
      </c>
      <c r="AM200" s="437">
        <v>241</v>
      </c>
      <c r="AN200" s="437">
        <f>AO200-SUM(AK200,AL200,AM200)</f>
        <v>321.13499999999999</v>
      </c>
      <c r="AO200" s="438">
        <v>1000</v>
      </c>
      <c r="AP200" s="437">
        <v>173</v>
      </c>
      <c r="AQ200" s="437">
        <v>225</v>
      </c>
      <c r="AR200" s="437">
        <v>439</v>
      </c>
      <c r="AS200" s="437">
        <f>AT200-SUM(AP200,AQ200,AR200)</f>
        <v>640</v>
      </c>
      <c r="AT200" s="438">
        <v>1477</v>
      </c>
      <c r="AU200" s="437">
        <v>383</v>
      </c>
      <c r="AV200" s="437">
        <v>653</v>
      </c>
      <c r="AW200" s="725">
        <v>662</v>
      </c>
      <c r="AX200" s="437">
        <f>AS200*(1+AX201)</f>
        <v>832</v>
      </c>
      <c r="AY200" s="438">
        <f>SUM(AU200,AV200,AW200,AX200)</f>
        <v>2530</v>
      </c>
      <c r="AZ200" s="437">
        <f>AU200*(1+AZ201)</f>
        <v>689.4</v>
      </c>
      <c r="BA200" s="437">
        <f>AV200*(1+BA201)</f>
        <v>1175.4000000000001</v>
      </c>
      <c r="BB200" s="437">
        <f>AW200*(1+BB201)</f>
        <v>1191.6000000000001</v>
      </c>
      <c r="BC200" s="437">
        <f>AX200*(1+BC201)</f>
        <v>1497.6000000000001</v>
      </c>
      <c r="BD200" s="438">
        <f>SUM(AZ200,BA200,BB200,BC200)</f>
        <v>4554.0000000000009</v>
      </c>
      <c r="BE200" s="438">
        <f>BD200*(1+BE201)</f>
        <v>6831.0000000000018</v>
      </c>
      <c r="BF200" s="438">
        <f>BE200*(1+BF201)</f>
        <v>10246.500000000004</v>
      </c>
      <c r="BG200" s="438">
        <f>BF200*(1+BG201)</f>
        <v>15369.750000000005</v>
      </c>
      <c r="BH200" s="368"/>
    </row>
    <row r="201" spans="1:60" s="574" customFormat="1" hidden="1" outlineLevel="1" x14ac:dyDescent="0.25">
      <c r="A201" s="950" t="s">
        <v>811</v>
      </c>
      <c r="B201" s="237"/>
      <c r="C201" s="191"/>
      <c r="D201" s="191"/>
      <c r="E201" s="191"/>
      <c r="F201" s="191"/>
      <c r="G201" s="1004"/>
      <c r="H201" s="1004"/>
      <c r="I201" s="1004"/>
      <c r="J201" s="1004"/>
      <c r="K201" s="191"/>
      <c r="L201" s="1004"/>
      <c r="M201" s="1004"/>
      <c r="N201" s="1004"/>
      <c r="O201" s="1004"/>
      <c r="P201" s="191"/>
      <c r="Q201" s="1004"/>
      <c r="R201" s="1004"/>
      <c r="S201" s="1004"/>
      <c r="T201" s="1004"/>
      <c r="U201" s="191"/>
      <c r="V201" s="1004"/>
      <c r="W201" s="1004"/>
      <c r="X201" s="1004"/>
      <c r="Y201" s="1004"/>
      <c r="Z201" s="191"/>
      <c r="AA201" s="1004"/>
      <c r="AB201" s="1004"/>
      <c r="AC201" s="1004"/>
      <c r="AD201" s="1004"/>
      <c r="AE201" s="191"/>
      <c r="AF201" s="1004"/>
      <c r="AG201" s="1004"/>
      <c r="AH201" s="1004"/>
      <c r="AI201" s="1004"/>
      <c r="AJ201" s="191"/>
      <c r="AK201" s="1004">
        <f t="shared" ref="AK201:AW201" si="154">AK200/AF200-1</f>
        <v>-0.28800416254049244</v>
      </c>
      <c r="AL201" s="1004">
        <f t="shared" si="154"/>
        <v>-3.7668050570753953E-2</v>
      </c>
      <c r="AM201" s="1004">
        <f t="shared" si="154"/>
        <v>-7.0531609638702975E-2</v>
      </c>
      <c r="AN201" s="1004">
        <f t="shared" si="154"/>
        <v>0.21293785268056142</v>
      </c>
      <c r="AO201" s="191">
        <f t="shared" si="154"/>
        <v>-5.3516988896807671E-2</v>
      </c>
      <c r="AP201" s="1004">
        <f t="shared" si="154"/>
        <v>-0.18434700612918431</v>
      </c>
      <c r="AQ201" s="1004">
        <f t="shared" si="154"/>
        <v>-3.3884791708191919E-3</v>
      </c>
      <c r="AR201" s="1004">
        <f t="shared" si="154"/>
        <v>0.82157676348547715</v>
      </c>
      <c r="AS201" s="1004">
        <f t="shared" si="154"/>
        <v>0.99293132171828047</v>
      </c>
      <c r="AT201" s="191">
        <f t="shared" si="154"/>
        <v>0.47700000000000009</v>
      </c>
      <c r="AU201" s="1004">
        <f t="shared" si="154"/>
        <v>1.2138728323699421</v>
      </c>
      <c r="AV201" s="1004">
        <f t="shared" si="154"/>
        <v>1.902222222222222</v>
      </c>
      <c r="AW201" s="820">
        <f t="shared" si="154"/>
        <v>0.50797266514806383</v>
      </c>
      <c r="AX201" s="620">
        <v>0.3</v>
      </c>
      <c r="AY201" s="191">
        <f>AY200/AT200-1</f>
        <v>0.71293161814488837</v>
      </c>
      <c r="AZ201" s="620">
        <v>0.8</v>
      </c>
      <c r="BA201" s="620">
        <v>0.8</v>
      </c>
      <c r="BB201" s="620">
        <v>0.8</v>
      </c>
      <c r="BC201" s="620">
        <v>0.8</v>
      </c>
      <c r="BD201" s="191">
        <f>BD200/AY200-1</f>
        <v>0.80000000000000027</v>
      </c>
      <c r="BE201" s="1012">
        <v>0.5</v>
      </c>
      <c r="BF201" s="1012">
        <v>0.5</v>
      </c>
      <c r="BG201" s="1012">
        <v>0.5</v>
      </c>
      <c r="BH201" s="572"/>
    </row>
    <row r="202" spans="1:60" s="112" customFormat="1" ht="7.5" hidden="1" customHeight="1" outlineLevel="1" x14ac:dyDescent="0.25">
      <c r="A202" s="216"/>
      <c r="B202" s="507"/>
      <c r="C202" s="438"/>
      <c r="D202" s="438"/>
      <c r="E202" s="438"/>
      <c r="F202" s="438"/>
      <c r="G202" s="437"/>
      <c r="H202" s="437"/>
      <c r="I202" s="437"/>
      <c r="J202" s="437"/>
      <c r="K202" s="438"/>
      <c r="L202" s="437"/>
      <c r="M202" s="437"/>
      <c r="N202" s="437"/>
      <c r="O202" s="437"/>
      <c r="P202" s="438"/>
      <c r="Q202" s="437"/>
      <c r="R202" s="437"/>
      <c r="S202" s="437"/>
      <c r="T202" s="437"/>
      <c r="U202" s="438"/>
      <c r="V202" s="437"/>
      <c r="W202" s="437"/>
      <c r="X202" s="437"/>
      <c r="Y202" s="437"/>
      <c r="Z202" s="440"/>
      <c r="AA202" s="439"/>
      <c r="AB202" s="439"/>
      <c r="AC202" s="439"/>
      <c r="AD202" s="439"/>
      <c r="AE202" s="440"/>
      <c r="AF202" s="439"/>
      <c r="AG202" s="439"/>
      <c r="AH202" s="439"/>
      <c r="AI202" s="439"/>
      <c r="AJ202" s="440"/>
      <c r="AK202" s="439"/>
      <c r="AL202" s="439"/>
      <c r="AM202" s="439"/>
      <c r="AN202" s="439"/>
      <c r="AO202" s="440"/>
      <c r="AP202" s="439"/>
      <c r="AQ202" s="439"/>
      <c r="AR202" s="439"/>
      <c r="AS202" s="439"/>
      <c r="AT202" s="440"/>
      <c r="AU202" s="439"/>
      <c r="AV202" s="439"/>
      <c r="AW202" s="726"/>
      <c r="AX202" s="439"/>
      <c r="AY202" s="440"/>
      <c r="AZ202" s="439"/>
      <c r="BA202" s="439"/>
      <c r="BB202" s="439"/>
      <c r="BC202" s="439"/>
      <c r="BD202" s="440"/>
      <c r="BE202" s="440"/>
      <c r="BF202" s="440"/>
      <c r="BG202" s="440"/>
      <c r="BH202" s="1034"/>
    </row>
    <row r="203" spans="1:60" s="356" customFormat="1" hidden="1" outlineLevel="1" x14ac:dyDescent="0.25">
      <c r="A203" s="980" t="s">
        <v>641</v>
      </c>
      <c r="B203" s="450"/>
      <c r="C203" s="440"/>
      <c r="D203" s="440"/>
      <c r="E203" s="440"/>
      <c r="F203" s="440"/>
      <c r="G203" s="439"/>
      <c r="H203" s="439"/>
      <c r="I203" s="439"/>
      <c r="J203" s="439"/>
      <c r="K203" s="440"/>
      <c r="L203" s="439"/>
      <c r="M203" s="439"/>
      <c r="N203" s="439"/>
      <c r="O203" s="439"/>
      <c r="P203" s="440"/>
      <c r="Q203" s="439"/>
      <c r="R203" s="439"/>
      <c r="S203" s="439"/>
      <c r="T203" s="439"/>
      <c r="U203" s="440"/>
      <c r="V203" s="439"/>
      <c r="W203" s="439"/>
      <c r="X203" s="439"/>
      <c r="Y203" s="439"/>
      <c r="Z203" s="440"/>
      <c r="AA203" s="361">
        <f>Z205</f>
        <v>5919.88</v>
      </c>
      <c r="AB203" s="36">
        <f>AA205</f>
        <v>6085.99</v>
      </c>
      <c r="AC203" s="36">
        <f>AB205</f>
        <v>6218.5039999999999</v>
      </c>
      <c r="AD203" s="361">
        <f>AC205</f>
        <v>6287.9650000000001</v>
      </c>
      <c r="AE203" s="35">
        <f>Z205</f>
        <v>5919.88</v>
      </c>
      <c r="AF203" s="361">
        <f>AE205</f>
        <v>6347.49</v>
      </c>
      <c r="AG203" s="36">
        <f>AF205</f>
        <v>6346.3739999999998</v>
      </c>
      <c r="AH203" s="36">
        <f>AG205</f>
        <v>6340.0309999999999</v>
      </c>
      <c r="AI203" s="361">
        <f>AH205</f>
        <v>6301.5370000000003</v>
      </c>
      <c r="AJ203" s="35">
        <f>AE205</f>
        <v>6347.49</v>
      </c>
      <c r="AK203" s="361">
        <f>AJ205</f>
        <v>6271.3959999999997</v>
      </c>
      <c r="AL203" s="36">
        <f>AK205</f>
        <v>6241.6369999999997</v>
      </c>
      <c r="AM203" s="36">
        <f>AL205</f>
        <v>6200.7039999999997</v>
      </c>
      <c r="AN203" s="361">
        <f>AM205</f>
        <v>6168</v>
      </c>
      <c r="AO203" s="35">
        <f>AJ205</f>
        <v>6271.3959999999997</v>
      </c>
      <c r="AP203" s="361">
        <f>AO205</f>
        <v>6138</v>
      </c>
      <c r="AQ203" s="36">
        <f>AP205</f>
        <v>6106</v>
      </c>
      <c r="AR203" s="36">
        <f>AQ205</f>
        <v>6069</v>
      </c>
      <c r="AS203" s="361">
        <f>AR205</f>
        <v>6025</v>
      </c>
      <c r="AT203" s="35">
        <f>AO205</f>
        <v>6138</v>
      </c>
      <c r="AU203" s="361">
        <f>AT205</f>
        <v>5979</v>
      </c>
      <c r="AV203" s="36">
        <f>AU205</f>
        <v>5933</v>
      </c>
      <c r="AW203" s="792">
        <f>AV205</f>
        <v>5883</v>
      </c>
      <c r="AX203" s="361">
        <f>AW205</f>
        <v>5821</v>
      </c>
      <c r="AY203" s="35">
        <f>AT205</f>
        <v>5979</v>
      </c>
      <c r="AZ203" s="361">
        <f>AY205</f>
        <v>5781</v>
      </c>
      <c r="BA203" s="361">
        <f>AZ205</f>
        <v>5741</v>
      </c>
      <c r="BB203" s="361">
        <f>BA205</f>
        <v>5701</v>
      </c>
      <c r="BC203" s="361">
        <f>BB205</f>
        <v>5661</v>
      </c>
      <c r="BD203" s="35">
        <f>AY205</f>
        <v>5781</v>
      </c>
      <c r="BE203" s="35">
        <f>BD205</f>
        <v>5621</v>
      </c>
      <c r="BF203" s="35">
        <f>BE205</f>
        <v>5461</v>
      </c>
      <c r="BG203" s="35">
        <f>BF205</f>
        <v>5301</v>
      </c>
      <c r="BH203" s="361"/>
    </row>
    <row r="204" spans="1:60" s="356" customFormat="1" hidden="1" outlineLevel="1" x14ac:dyDescent="0.25">
      <c r="A204" s="466" t="s">
        <v>26</v>
      </c>
      <c r="B204" s="467"/>
      <c r="C204" s="479"/>
      <c r="D204" s="479"/>
      <c r="E204" s="479"/>
      <c r="F204" s="479"/>
      <c r="G204" s="459"/>
      <c r="H204" s="459"/>
      <c r="I204" s="459"/>
      <c r="J204" s="459"/>
      <c r="K204" s="479"/>
      <c r="L204" s="459"/>
      <c r="M204" s="459"/>
      <c r="N204" s="459"/>
      <c r="O204" s="459"/>
      <c r="P204" s="479"/>
      <c r="Q204" s="459"/>
      <c r="R204" s="459"/>
      <c r="S204" s="459"/>
      <c r="T204" s="459"/>
      <c r="U204" s="479"/>
      <c r="V204" s="459"/>
      <c r="W204" s="459"/>
      <c r="X204" s="459"/>
      <c r="Y204" s="459"/>
      <c r="Z204" s="479"/>
      <c r="AA204" s="459">
        <f>AA205-AA203</f>
        <v>166.10999999999967</v>
      </c>
      <c r="AB204" s="459">
        <f>AB205-AB203</f>
        <v>132.51400000000012</v>
      </c>
      <c r="AC204" s="459">
        <f>AC205-AC203</f>
        <v>69.46100000000024</v>
      </c>
      <c r="AD204" s="459">
        <f>AD205-AD203</f>
        <v>59.524999999999636</v>
      </c>
      <c r="AE204" s="479">
        <f>SUM(AA204,AB204,AC204,AD204)</f>
        <v>427.60999999999967</v>
      </c>
      <c r="AF204" s="459">
        <f>AF205-AF203</f>
        <v>-1.1159999999999854</v>
      </c>
      <c r="AG204" s="459">
        <f>AG205-AG203</f>
        <v>-6.3429999999998472</v>
      </c>
      <c r="AH204" s="459">
        <f>AH205-AH203</f>
        <v>-38.493999999999687</v>
      </c>
      <c r="AI204" s="459">
        <f>AI205-AI203</f>
        <v>-30.141000000000531</v>
      </c>
      <c r="AJ204" s="479">
        <f>SUM(AF204,AG204,AH204,AI204)</f>
        <v>-76.094000000000051</v>
      </c>
      <c r="AK204" s="459">
        <f>AK205-AK203</f>
        <v>-29.759000000000015</v>
      </c>
      <c r="AL204" s="459">
        <f>AL205-AL203</f>
        <v>-40.932999999999993</v>
      </c>
      <c r="AM204" s="459">
        <f>AM205-AM203</f>
        <v>-32.703999999999724</v>
      </c>
      <c r="AN204" s="459">
        <f>AN205-AN203</f>
        <v>-30</v>
      </c>
      <c r="AO204" s="479">
        <f>SUM(AK204,AL204,AM204,AN204)</f>
        <v>-133.39599999999973</v>
      </c>
      <c r="AP204" s="459">
        <f>AP205-AP203</f>
        <v>-32</v>
      </c>
      <c r="AQ204" s="459">
        <f>AQ205-AQ203</f>
        <v>-37</v>
      </c>
      <c r="AR204" s="459">
        <f>AR205-AR203</f>
        <v>-44</v>
      </c>
      <c r="AS204" s="459">
        <f>AS205-AS203</f>
        <v>-46</v>
      </c>
      <c r="AT204" s="479">
        <f>SUM(AP204,AQ204,AR204,AS204)</f>
        <v>-159</v>
      </c>
      <c r="AU204" s="459">
        <f>AU205-AU203</f>
        <v>-46</v>
      </c>
      <c r="AV204" s="459">
        <f>AV205-AV203</f>
        <v>-50</v>
      </c>
      <c r="AW204" s="723">
        <f>AW205-AW203</f>
        <v>-62</v>
      </c>
      <c r="AX204" s="468">
        <v>-40</v>
      </c>
      <c r="AY204" s="479">
        <f>SUM(AU204,AV204,AW204,AX204)</f>
        <v>-198</v>
      </c>
      <c r="AZ204" s="468">
        <v>-40</v>
      </c>
      <c r="BA204" s="468">
        <v>-40</v>
      </c>
      <c r="BB204" s="468">
        <v>-40</v>
      </c>
      <c r="BC204" s="468">
        <v>-40</v>
      </c>
      <c r="BD204" s="479">
        <f>SUM(AZ204,BA204,BB204,BC204)</f>
        <v>-160</v>
      </c>
      <c r="BE204" s="1010">
        <v>-160</v>
      </c>
      <c r="BF204" s="1010">
        <v>-160</v>
      </c>
      <c r="BG204" s="1010">
        <v>-160</v>
      </c>
      <c r="BH204" s="361"/>
    </row>
    <row r="205" spans="1:60" s="356" customFormat="1" hidden="1" outlineLevel="1" x14ac:dyDescent="0.25">
      <c r="A205" s="981" t="s">
        <v>642</v>
      </c>
      <c r="B205" s="552"/>
      <c r="C205" s="478"/>
      <c r="D205" s="478"/>
      <c r="E205" s="478"/>
      <c r="F205" s="478"/>
      <c r="G205" s="464"/>
      <c r="H205" s="464"/>
      <c r="I205" s="464"/>
      <c r="J205" s="464"/>
      <c r="K205" s="478"/>
      <c r="L205" s="464"/>
      <c r="M205" s="464"/>
      <c r="N205" s="464"/>
      <c r="O205" s="464"/>
      <c r="P205" s="478"/>
      <c r="Q205" s="464"/>
      <c r="R205" s="464"/>
      <c r="S205" s="464"/>
      <c r="T205" s="464"/>
      <c r="U205" s="478"/>
      <c r="V205" s="464"/>
      <c r="W205" s="464"/>
      <c r="X205" s="464"/>
      <c r="Y205" s="464"/>
      <c r="Z205" s="774">
        <f t="shared" ref="Z205:AW205" si="155">Z729</f>
        <v>5919.88</v>
      </c>
      <c r="AA205" s="775">
        <f t="shared" si="155"/>
        <v>6085.99</v>
      </c>
      <c r="AB205" s="776">
        <f t="shared" si="155"/>
        <v>6218.5039999999999</v>
      </c>
      <c r="AC205" s="776">
        <f t="shared" si="155"/>
        <v>6287.9650000000001</v>
      </c>
      <c r="AD205" s="775">
        <f t="shared" si="155"/>
        <v>6347.49</v>
      </c>
      <c r="AE205" s="774">
        <f t="shared" si="155"/>
        <v>6347.49</v>
      </c>
      <c r="AF205" s="775">
        <f t="shared" si="155"/>
        <v>6346.3739999999998</v>
      </c>
      <c r="AG205" s="776">
        <f t="shared" si="155"/>
        <v>6340.0309999999999</v>
      </c>
      <c r="AH205" s="776">
        <f t="shared" si="155"/>
        <v>6301.5370000000003</v>
      </c>
      <c r="AI205" s="775">
        <f t="shared" si="155"/>
        <v>6271.3959999999997</v>
      </c>
      <c r="AJ205" s="774">
        <f t="shared" si="155"/>
        <v>6271.3959999999997</v>
      </c>
      <c r="AK205" s="775">
        <f t="shared" si="155"/>
        <v>6241.6369999999997</v>
      </c>
      <c r="AL205" s="776">
        <f t="shared" si="155"/>
        <v>6200.7039999999997</v>
      </c>
      <c r="AM205" s="776">
        <f t="shared" si="155"/>
        <v>6168</v>
      </c>
      <c r="AN205" s="775">
        <f t="shared" si="155"/>
        <v>6138</v>
      </c>
      <c r="AO205" s="774">
        <f t="shared" si="155"/>
        <v>6138</v>
      </c>
      <c r="AP205" s="775">
        <f t="shared" si="155"/>
        <v>6106</v>
      </c>
      <c r="AQ205" s="776">
        <f t="shared" si="155"/>
        <v>6069</v>
      </c>
      <c r="AR205" s="776">
        <f t="shared" si="155"/>
        <v>6025</v>
      </c>
      <c r="AS205" s="775">
        <f t="shared" si="155"/>
        <v>5979</v>
      </c>
      <c r="AT205" s="774">
        <f t="shared" si="155"/>
        <v>5979</v>
      </c>
      <c r="AU205" s="775">
        <f t="shared" si="155"/>
        <v>5933</v>
      </c>
      <c r="AV205" s="776">
        <f t="shared" si="155"/>
        <v>5883</v>
      </c>
      <c r="AW205" s="978">
        <f t="shared" si="155"/>
        <v>5821</v>
      </c>
      <c r="AX205" s="775">
        <f t="shared" ref="AX205:BG205" si="156">SUM(AX203:AX204)</f>
        <v>5781</v>
      </c>
      <c r="AY205" s="774">
        <f t="shared" si="156"/>
        <v>5781</v>
      </c>
      <c r="AZ205" s="775">
        <f t="shared" si="156"/>
        <v>5741</v>
      </c>
      <c r="BA205" s="775">
        <f t="shared" si="156"/>
        <v>5701</v>
      </c>
      <c r="BB205" s="775">
        <f t="shared" si="156"/>
        <v>5661</v>
      </c>
      <c r="BC205" s="775">
        <f t="shared" si="156"/>
        <v>5621</v>
      </c>
      <c r="BD205" s="774">
        <f t="shared" si="156"/>
        <v>5621</v>
      </c>
      <c r="BE205" s="774">
        <f t="shared" si="156"/>
        <v>5461</v>
      </c>
      <c r="BF205" s="774">
        <f t="shared" si="156"/>
        <v>5301</v>
      </c>
      <c r="BG205" s="774">
        <f t="shared" si="156"/>
        <v>5141</v>
      </c>
      <c r="BH205" s="361"/>
    </row>
    <row r="206" spans="1:60" s="116" customFormat="1" hidden="1" outlineLevel="1" x14ac:dyDescent="0.25">
      <c r="A206" s="41" t="s">
        <v>643</v>
      </c>
      <c r="B206" s="531"/>
      <c r="C206" s="438"/>
      <c r="D206" s="438"/>
      <c r="E206" s="438"/>
      <c r="F206" s="438"/>
      <c r="G206" s="437"/>
      <c r="H206" s="437"/>
      <c r="I206" s="437"/>
      <c r="J206" s="437"/>
      <c r="K206" s="438"/>
      <c r="L206" s="437"/>
      <c r="M206" s="437"/>
      <c r="N206" s="437"/>
      <c r="O206" s="437"/>
      <c r="P206" s="438"/>
      <c r="Q206" s="437"/>
      <c r="R206" s="437"/>
      <c r="S206" s="437"/>
      <c r="T206" s="437"/>
      <c r="U206" s="438"/>
      <c r="V206" s="437"/>
      <c r="W206" s="437"/>
      <c r="X206" s="437"/>
      <c r="Y206" s="437"/>
      <c r="Z206" s="33">
        <f t="shared" ref="Z206:BG206" si="157">AVERAGE(Z205,Z203)</f>
        <v>5919.88</v>
      </c>
      <c r="AA206" s="368">
        <f t="shared" si="157"/>
        <v>6002.9349999999995</v>
      </c>
      <c r="AB206" s="34">
        <f t="shared" si="157"/>
        <v>6152.2469999999994</v>
      </c>
      <c r="AC206" s="34">
        <f t="shared" si="157"/>
        <v>6253.2345000000005</v>
      </c>
      <c r="AD206" s="368">
        <f t="shared" si="157"/>
        <v>6317.7275</v>
      </c>
      <c r="AE206" s="33">
        <f t="shared" si="157"/>
        <v>6133.6849999999995</v>
      </c>
      <c r="AF206" s="368">
        <f t="shared" si="157"/>
        <v>6346.9319999999998</v>
      </c>
      <c r="AG206" s="34">
        <f t="shared" si="157"/>
        <v>6343.2024999999994</v>
      </c>
      <c r="AH206" s="34">
        <f t="shared" si="157"/>
        <v>6320.7839999999997</v>
      </c>
      <c r="AI206" s="368">
        <f t="shared" si="157"/>
        <v>6286.4665000000005</v>
      </c>
      <c r="AJ206" s="33">
        <f t="shared" si="157"/>
        <v>6309.4429999999993</v>
      </c>
      <c r="AK206" s="368">
        <f t="shared" si="157"/>
        <v>6256.5164999999997</v>
      </c>
      <c r="AL206" s="34">
        <f t="shared" si="157"/>
        <v>6221.1705000000002</v>
      </c>
      <c r="AM206" s="34">
        <f t="shared" si="157"/>
        <v>6184.3519999999999</v>
      </c>
      <c r="AN206" s="368">
        <f t="shared" si="157"/>
        <v>6153</v>
      </c>
      <c r="AO206" s="33">
        <f t="shared" si="157"/>
        <v>6204.6980000000003</v>
      </c>
      <c r="AP206" s="368">
        <f t="shared" si="157"/>
        <v>6122</v>
      </c>
      <c r="AQ206" s="34">
        <f t="shared" si="157"/>
        <v>6087.5</v>
      </c>
      <c r="AR206" s="34">
        <f t="shared" si="157"/>
        <v>6047</v>
      </c>
      <c r="AS206" s="368">
        <f t="shared" si="157"/>
        <v>6002</v>
      </c>
      <c r="AT206" s="33">
        <f t="shared" si="157"/>
        <v>6058.5</v>
      </c>
      <c r="AU206" s="368">
        <f t="shared" si="157"/>
        <v>5956</v>
      </c>
      <c r="AV206" s="34">
        <f t="shared" si="157"/>
        <v>5908</v>
      </c>
      <c r="AW206" s="793">
        <f t="shared" si="157"/>
        <v>5852</v>
      </c>
      <c r="AX206" s="368">
        <f t="shared" si="157"/>
        <v>5801</v>
      </c>
      <c r="AY206" s="33">
        <f t="shared" si="157"/>
        <v>5880</v>
      </c>
      <c r="AZ206" s="368">
        <f t="shared" si="157"/>
        <v>5761</v>
      </c>
      <c r="BA206" s="368">
        <f t="shared" si="157"/>
        <v>5721</v>
      </c>
      <c r="BB206" s="368">
        <f t="shared" si="157"/>
        <v>5681</v>
      </c>
      <c r="BC206" s="368">
        <f t="shared" si="157"/>
        <v>5641</v>
      </c>
      <c r="BD206" s="33">
        <f t="shared" si="157"/>
        <v>5701</v>
      </c>
      <c r="BE206" s="33">
        <f t="shared" si="157"/>
        <v>5541</v>
      </c>
      <c r="BF206" s="33">
        <f t="shared" si="157"/>
        <v>5381</v>
      </c>
      <c r="BG206" s="33">
        <f t="shared" si="157"/>
        <v>5221</v>
      </c>
      <c r="BH206" s="368"/>
    </row>
    <row r="207" spans="1:60" s="574" customFormat="1" hidden="1" outlineLevel="1" x14ac:dyDescent="0.25">
      <c r="A207" s="950" t="s">
        <v>810</v>
      </c>
      <c r="B207" s="237"/>
      <c r="C207" s="191"/>
      <c r="D207" s="191"/>
      <c r="E207" s="191"/>
      <c r="F207" s="191"/>
      <c r="G207" s="1004"/>
      <c r="H207" s="1004"/>
      <c r="I207" s="1004"/>
      <c r="J207" s="1004"/>
      <c r="K207" s="191"/>
      <c r="L207" s="1004"/>
      <c r="M207" s="1004"/>
      <c r="N207" s="1004"/>
      <c r="O207" s="1004"/>
      <c r="P207" s="191"/>
      <c r="Q207" s="1004"/>
      <c r="R207" s="1004"/>
      <c r="S207" s="1004"/>
      <c r="T207" s="1004"/>
      <c r="U207" s="191"/>
      <c r="V207" s="1004"/>
      <c r="W207" s="1004"/>
      <c r="X207" s="1004"/>
      <c r="Y207" s="1004"/>
      <c r="Z207" s="191"/>
      <c r="AA207" s="1004"/>
      <c r="AB207" s="1004"/>
      <c r="AC207" s="1004"/>
      <c r="AD207" s="1004"/>
      <c r="AE207" s="191">
        <f t="shared" ref="AE207:BD207" si="158">AE206/Z206-1</f>
        <v>3.6116441549490785E-2</v>
      </c>
      <c r="AF207" s="1004">
        <f t="shared" si="158"/>
        <v>5.7304801734485045E-2</v>
      </c>
      <c r="AG207" s="1004">
        <f t="shared" si="158"/>
        <v>3.10383344491858E-2</v>
      </c>
      <c r="AH207" s="1004">
        <f t="shared" si="158"/>
        <v>1.0802329578396552E-2</v>
      </c>
      <c r="AI207" s="1004">
        <f t="shared" si="158"/>
        <v>-4.9481399759643274E-3</v>
      </c>
      <c r="AJ207" s="191">
        <f t="shared" si="158"/>
        <v>2.8654552687332302E-2</v>
      </c>
      <c r="AK207" s="1004">
        <f t="shared" si="158"/>
        <v>-1.4245544146368694E-2</v>
      </c>
      <c r="AL207" s="1004">
        <f t="shared" si="158"/>
        <v>-1.9238231792221505E-2</v>
      </c>
      <c r="AM207" s="1004">
        <f t="shared" si="158"/>
        <v>-2.1584664180898994E-2</v>
      </c>
      <c r="AN207" s="1004">
        <f t="shared" si="158"/>
        <v>-2.1230766122749656E-2</v>
      </c>
      <c r="AO207" s="191">
        <f t="shared" si="158"/>
        <v>-1.6601306961644524E-2</v>
      </c>
      <c r="AP207" s="1004">
        <f t="shared" si="158"/>
        <v>-2.1500223007483443E-2</v>
      </c>
      <c r="AQ207" s="1004">
        <f t="shared" si="158"/>
        <v>-2.1486390704128722E-2</v>
      </c>
      <c r="AR207" s="1004">
        <f t="shared" si="158"/>
        <v>-2.2209602558198482E-2</v>
      </c>
      <c r="AS207" s="1004">
        <f t="shared" si="158"/>
        <v>-2.4540874370225896E-2</v>
      </c>
      <c r="AT207" s="191">
        <f t="shared" si="158"/>
        <v>-2.3562468310302953E-2</v>
      </c>
      <c r="AU207" s="1004">
        <f t="shared" si="158"/>
        <v>-2.7115321790264657E-2</v>
      </c>
      <c r="AV207" s="1004">
        <f t="shared" si="158"/>
        <v>-2.9486652977412708E-2</v>
      </c>
      <c r="AW207" s="820">
        <f t="shared" si="158"/>
        <v>-3.2247395402679069E-2</v>
      </c>
      <c r="AX207" s="1004">
        <f t="shared" si="158"/>
        <v>-3.3488837054315268E-2</v>
      </c>
      <c r="AY207" s="191">
        <f t="shared" si="158"/>
        <v>-2.9462738301559765E-2</v>
      </c>
      <c r="AZ207" s="1004">
        <f t="shared" si="158"/>
        <v>-3.2740094022834065E-2</v>
      </c>
      <c r="BA207" s="1004">
        <f t="shared" si="158"/>
        <v>-3.1651997291807676E-2</v>
      </c>
      <c r="BB207" s="1004">
        <f t="shared" si="158"/>
        <v>-2.9220779220779258E-2</v>
      </c>
      <c r="BC207" s="1004">
        <f t="shared" si="158"/>
        <v>-2.75814514738838E-2</v>
      </c>
      <c r="BD207" s="191">
        <f t="shared" si="158"/>
        <v>-3.044217687074835E-2</v>
      </c>
      <c r="BE207" s="191">
        <f>BE206/BD206-1</f>
        <v>-2.8065251710226224E-2</v>
      </c>
      <c r="BF207" s="191">
        <f>BF206/BE206-1</f>
        <v>-2.8875654214040813E-2</v>
      </c>
      <c r="BG207" s="191">
        <f>BG206/BF206-1</f>
        <v>-2.9734250139379248E-2</v>
      </c>
      <c r="BH207" s="572"/>
    </row>
    <row r="208" spans="1:60" s="116" customFormat="1" hidden="1" outlineLevel="1" x14ac:dyDescent="0.25">
      <c r="A208" s="645"/>
      <c r="B208" s="531"/>
      <c r="C208" s="438"/>
      <c r="D208" s="438"/>
      <c r="E208" s="438"/>
      <c r="F208" s="438"/>
      <c r="G208" s="437"/>
      <c r="H208" s="437"/>
      <c r="I208" s="437"/>
      <c r="J208" s="437"/>
      <c r="K208" s="438"/>
      <c r="L208" s="437"/>
      <c r="M208" s="437"/>
      <c r="N208" s="437"/>
      <c r="O208" s="437"/>
      <c r="P208" s="438"/>
      <c r="Q208" s="437"/>
      <c r="R208" s="437"/>
      <c r="S208" s="437"/>
      <c r="T208" s="437"/>
      <c r="U208" s="438"/>
      <c r="V208" s="437"/>
      <c r="W208" s="437"/>
      <c r="X208" s="437"/>
      <c r="Y208" s="437"/>
      <c r="Z208" s="438"/>
      <c r="AA208" s="437"/>
      <c r="AB208" s="437"/>
      <c r="AC208" s="437"/>
      <c r="AD208" s="437"/>
      <c r="AE208" s="438"/>
      <c r="AF208" s="437"/>
      <c r="AG208" s="437"/>
      <c r="AH208" s="437"/>
      <c r="AI208" s="437"/>
      <c r="AJ208" s="438"/>
      <c r="AK208" s="437"/>
      <c r="AL208" s="437"/>
      <c r="AM208" s="437"/>
      <c r="AN208" s="437"/>
      <c r="AO208" s="438"/>
      <c r="AP208" s="437"/>
      <c r="AQ208" s="437"/>
      <c r="AR208" s="437"/>
      <c r="AS208" s="437"/>
      <c r="AT208" s="438"/>
      <c r="AU208" s="437"/>
      <c r="AV208" s="437"/>
      <c r="AW208" s="725"/>
      <c r="AX208" s="437"/>
      <c r="AY208" s="438"/>
      <c r="AZ208" s="437"/>
      <c r="BA208" s="437"/>
      <c r="BB208" s="437"/>
      <c r="BC208" s="437"/>
      <c r="BD208" s="438"/>
      <c r="BE208" s="438"/>
      <c r="BF208" s="438"/>
      <c r="BG208" s="438"/>
      <c r="BH208" s="368"/>
    </row>
    <row r="209" spans="1:60" s="120" customFormat="1" hidden="1" outlineLevel="1" x14ac:dyDescent="0.25">
      <c r="A209" s="216" t="s">
        <v>726</v>
      </c>
      <c r="B209" s="215"/>
      <c r="C209" s="100"/>
      <c r="D209" s="100"/>
      <c r="E209" s="100"/>
      <c r="F209" s="100"/>
      <c r="G209" s="1005"/>
      <c r="H209" s="1005"/>
      <c r="I209" s="1005"/>
      <c r="J209" s="1005"/>
      <c r="K209" s="100"/>
      <c r="L209" s="1005"/>
      <c r="M209" s="1005"/>
      <c r="N209" s="1005"/>
      <c r="O209" s="1005"/>
      <c r="P209" s="100"/>
      <c r="Q209" s="1005"/>
      <c r="R209" s="1005"/>
      <c r="S209" s="1005"/>
      <c r="T209" s="1005"/>
      <c r="U209" s="100"/>
      <c r="V209" s="1005"/>
      <c r="W209" s="1005"/>
      <c r="X209" s="1005"/>
      <c r="Y209" s="1005"/>
      <c r="Z209" s="100"/>
      <c r="AA209" s="1005"/>
      <c r="AB209" s="1005"/>
      <c r="AC209" s="1005"/>
      <c r="AD209" s="1005"/>
      <c r="AE209" s="100"/>
      <c r="AF209" s="1005">
        <f t="shared" ref="AF209:AW209" si="159">AF211/AF206</f>
        <v>1.7666330756340227E-2</v>
      </c>
      <c r="AG209" s="1005">
        <f t="shared" si="159"/>
        <v>2.2040286432602463E-2</v>
      </c>
      <c r="AH209" s="1005">
        <f t="shared" si="159"/>
        <v>2.2153739156408447E-2</v>
      </c>
      <c r="AI209" s="1005">
        <f t="shared" si="159"/>
        <v>1.6979172640146898E-2</v>
      </c>
      <c r="AJ209" s="100">
        <f t="shared" si="159"/>
        <v>7.9040416087442278E-2</v>
      </c>
      <c r="AK209" s="1005">
        <f t="shared" si="159"/>
        <v>1.7991001861818796E-2</v>
      </c>
      <c r="AL209" s="1005">
        <f t="shared" si="159"/>
        <v>2.2896495120974421E-2</v>
      </c>
      <c r="AM209" s="1005">
        <f t="shared" si="159"/>
        <v>2.603344699654871E-2</v>
      </c>
      <c r="AN209" s="1005">
        <f t="shared" si="159"/>
        <v>1.8689419795221839E-2</v>
      </c>
      <c r="AO209" s="100">
        <f t="shared" si="159"/>
        <v>8.5580313497933339E-2</v>
      </c>
      <c r="AP209" s="1005">
        <f t="shared" si="159"/>
        <v>1.9601437438745508E-2</v>
      </c>
      <c r="AQ209" s="1005">
        <f t="shared" si="159"/>
        <v>2.3819301848049281E-2</v>
      </c>
      <c r="AR209" s="1005">
        <f t="shared" si="159"/>
        <v>2.3151976186538779E-2</v>
      </c>
      <c r="AS209" s="1005">
        <f t="shared" si="159"/>
        <v>1.8660446517827389E-2</v>
      </c>
      <c r="AT209" s="100">
        <f t="shared" si="159"/>
        <v>8.5334653792192794E-2</v>
      </c>
      <c r="AU209" s="1005">
        <f t="shared" si="159"/>
        <v>1.8636668905305576E-2</v>
      </c>
      <c r="AV209" s="1005">
        <f t="shared" si="159"/>
        <v>2.5050778605280974E-2</v>
      </c>
      <c r="AW209" s="727">
        <f t="shared" si="159"/>
        <v>2.4606971975393029E-2</v>
      </c>
      <c r="AX209" s="99">
        <v>2.5000000000000001E-2</v>
      </c>
      <c r="AY209" s="100">
        <f>AY211/AY206</f>
        <v>9.3201530612244898E-2</v>
      </c>
      <c r="AZ209" s="99">
        <v>2.5000000000000001E-2</v>
      </c>
      <c r="BA209" s="99">
        <v>2.5000000000000001E-2</v>
      </c>
      <c r="BB209" s="99">
        <v>2.5000000000000001E-2</v>
      </c>
      <c r="BC209" s="99">
        <v>2.5000000000000001E-2</v>
      </c>
      <c r="BD209" s="100">
        <f>BD211/BD206</f>
        <v>0.1</v>
      </c>
      <c r="BE209" s="1011">
        <v>0.1</v>
      </c>
      <c r="BF209" s="1011">
        <v>0.1</v>
      </c>
      <c r="BG209" s="1011">
        <v>0.1</v>
      </c>
      <c r="BH209" s="366"/>
    </row>
    <row r="210" spans="1:60" s="120" customFormat="1" ht="7.5" hidden="1" customHeight="1" outlineLevel="1" x14ac:dyDescent="0.25">
      <c r="A210" s="216"/>
      <c r="B210" s="215"/>
      <c r="C210" s="100"/>
      <c r="D210" s="100"/>
      <c r="E210" s="100"/>
      <c r="F210" s="100"/>
      <c r="G210" s="1005"/>
      <c r="H210" s="1005"/>
      <c r="I210" s="1005"/>
      <c r="J210" s="1005"/>
      <c r="K210" s="100"/>
      <c r="L210" s="1005"/>
      <c r="M210" s="1005"/>
      <c r="N210" s="1005"/>
      <c r="O210" s="1005"/>
      <c r="P210" s="100"/>
      <c r="Q210" s="1005"/>
      <c r="R210" s="1005"/>
      <c r="S210" s="1005"/>
      <c r="T210" s="1005"/>
      <c r="U210" s="100"/>
      <c r="V210" s="1005"/>
      <c r="W210" s="1005"/>
      <c r="X210" s="1005"/>
      <c r="Y210" s="1005"/>
      <c r="Z210" s="100"/>
      <c r="AA210" s="1005"/>
      <c r="AB210" s="1005"/>
      <c r="AC210" s="1005"/>
      <c r="AD210" s="1005"/>
      <c r="AE210" s="100"/>
      <c r="AF210" s="1005"/>
      <c r="AG210" s="1005"/>
      <c r="AH210" s="1005"/>
      <c r="AI210" s="1005"/>
      <c r="AJ210" s="100"/>
      <c r="AK210" s="1005"/>
      <c r="AL210" s="1005"/>
      <c r="AM210" s="1005"/>
      <c r="AN210" s="1005"/>
      <c r="AO210" s="100"/>
      <c r="AP210" s="1005"/>
      <c r="AQ210" s="1005"/>
      <c r="AR210" s="1005"/>
      <c r="AS210" s="1005"/>
      <c r="AT210" s="100"/>
      <c r="AU210" s="1005"/>
      <c r="AV210" s="1005"/>
      <c r="AW210" s="727"/>
      <c r="AX210" s="1005"/>
      <c r="AY210" s="100"/>
      <c r="AZ210" s="1005"/>
      <c r="BA210" s="1005"/>
      <c r="BB210" s="1005"/>
      <c r="BC210" s="1005"/>
      <c r="BD210" s="100"/>
      <c r="BE210" s="100"/>
      <c r="BF210" s="100"/>
      <c r="BG210" s="100"/>
      <c r="BH210" s="366"/>
    </row>
    <row r="211" spans="1:60" s="116" customFormat="1" hidden="1" outlineLevel="1" x14ac:dyDescent="0.25">
      <c r="A211" s="905" t="s">
        <v>782</v>
      </c>
      <c r="B211" s="531"/>
      <c r="C211" s="438"/>
      <c r="D211" s="438"/>
      <c r="E211" s="438"/>
      <c r="F211" s="438"/>
      <c r="G211" s="437"/>
      <c r="H211" s="437"/>
      <c r="I211" s="437"/>
      <c r="J211" s="437"/>
      <c r="K211" s="438"/>
      <c r="L211" s="437"/>
      <c r="M211" s="437"/>
      <c r="N211" s="437"/>
      <c r="O211" s="437"/>
      <c r="P211" s="438"/>
      <c r="Q211" s="437"/>
      <c r="R211" s="437"/>
      <c r="S211" s="437"/>
      <c r="T211" s="437"/>
      <c r="U211" s="438"/>
      <c r="V211" s="437"/>
      <c r="W211" s="437"/>
      <c r="X211" s="437"/>
      <c r="Y211" s="437"/>
      <c r="Z211" s="438"/>
      <c r="AA211" s="437"/>
      <c r="AB211" s="437"/>
      <c r="AC211" s="437"/>
      <c r="AD211" s="437"/>
      <c r="AE211" s="438"/>
      <c r="AF211" s="437">
        <v>112.127</v>
      </c>
      <c r="AG211" s="437">
        <v>139.80600000000001</v>
      </c>
      <c r="AH211" s="437">
        <v>140.029</v>
      </c>
      <c r="AI211" s="437">
        <f>AJ211-SUM(AF211,AG211,AH211)</f>
        <v>106.73900000000003</v>
      </c>
      <c r="AJ211" s="438">
        <v>498.70100000000002</v>
      </c>
      <c r="AK211" s="437">
        <v>112.56100000000001</v>
      </c>
      <c r="AL211" s="437">
        <v>142.44300000000001</v>
      </c>
      <c r="AM211" s="437">
        <v>161</v>
      </c>
      <c r="AN211" s="437">
        <f>AO211-SUM(AK211,AL211,AM211)</f>
        <v>114.99599999999998</v>
      </c>
      <c r="AO211" s="438">
        <v>531</v>
      </c>
      <c r="AP211" s="437">
        <v>120</v>
      </c>
      <c r="AQ211" s="437">
        <v>145</v>
      </c>
      <c r="AR211" s="437">
        <v>140</v>
      </c>
      <c r="AS211" s="437">
        <f>AT211-SUM(AP211,AQ211,AR211)</f>
        <v>112</v>
      </c>
      <c r="AT211" s="438">
        <v>517</v>
      </c>
      <c r="AU211" s="437">
        <v>111</v>
      </c>
      <c r="AV211" s="437">
        <v>148</v>
      </c>
      <c r="AW211" s="725">
        <v>144</v>
      </c>
      <c r="AX211" s="437">
        <f>AX209*AX206</f>
        <v>145.02500000000001</v>
      </c>
      <c r="AY211" s="438">
        <f>SUM(AU211,AV211,AW211,AX211)</f>
        <v>548.02499999999998</v>
      </c>
      <c r="AZ211" s="437">
        <f>AZ209*AZ206</f>
        <v>144.02500000000001</v>
      </c>
      <c r="BA211" s="437">
        <f>BA209*BA206</f>
        <v>143.02500000000001</v>
      </c>
      <c r="BB211" s="437">
        <f>BB209*BB206</f>
        <v>142.02500000000001</v>
      </c>
      <c r="BC211" s="437">
        <f>BC209*BC206</f>
        <v>141.02500000000001</v>
      </c>
      <c r="BD211" s="438">
        <f>SUM(AZ211,BA211,BB211,BC211)</f>
        <v>570.1</v>
      </c>
      <c r="BE211" s="438">
        <f>BE209*BE206</f>
        <v>554.1</v>
      </c>
      <c r="BF211" s="438">
        <f>BF209*BF206</f>
        <v>538.1</v>
      </c>
      <c r="BG211" s="438">
        <f>BG209*BG206</f>
        <v>522.1</v>
      </c>
      <c r="BH211" s="368"/>
    </row>
    <row r="212" spans="1:60" s="574" customFormat="1" hidden="1" outlineLevel="1" x14ac:dyDescent="0.25">
      <c r="A212" s="902" t="s">
        <v>725</v>
      </c>
      <c r="B212" s="237"/>
      <c r="C212" s="191"/>
      <c r="D212" s="191"/>
      <c r="E212" s="191"/>
      <c r="F212" s="191"/>
      <c r="G212" s="1004"/>
      <c r="H212" s="1004"/>
      <c r="I212" s="1004"/>
      <c r="J212" s="1004"/>
      <c r="K212" s="191"/>
      <c r="L212" s="1004"/>
      <c r="M212" s="1004"/>
      <c r="N212" s="1004"/>
      <c r="O212" s="1004"/>
      <c r="P212" s="191"/>
      <c r="Q212" s="1004"/>
      <c r="R212" s="1004"/>
      <c r="S212" s="1004"/>
      <c r="T212" s="1004"/>
      <c r="U212" s="191"/>
      <c r="V212" s="1004"/>
      <c r="W212" s="1004"/>
      <c r="X212" s="1004"/>
      <c r="Y212" s="1004"/>
      <c r="Z212" s="191"/>
      <c r="AA212" s="1004"/>
      <c r="AB212" s="1004"/>
      <c r="AC212" s="1004"/>
      <c r="AD212" s="1004"/>
      <c r="AE212" s="191"/>
      <c r="AF212" s="1004"/>
      <c r="AG212" s="1004"/>
      <c r="AH212" s="1004"/>
      <c r="AI212" s="1004"/>
      <c r="AJ212" s="191"/>
      <c r="AK212" s="1004">
        <f t="shared" ref="AK212:BD212" si="160">AK211/AF211-1</f>
        <v>3.8706110035942043E-3</v>
      </c>
      <c r="AL212" s="1004">
        <f t="shared" si="160"/>
        <v>1.8861851422685705E-2</v>
      </c>
      <c r="AM212" s="1004">
        <f t="shared" si="160"/>
        <v>0.14976183504845419</v>
      </c>
      <c r="AN212" s="1004">
        <f t="shared" si="160"/>
        <v>7.7356917340428044E-2</v>
      </c>
      <c r="AO212" s="191">
        <f t="shared" si="160"/>
        <v>6.4766262750626025E-2</v>
      </c>
      <c r="AP212" s="1004">
        <f t="shared" si="160"/>
        <v>6.6088609731612236E-2</v>
      </c>
      <c r="AQ212" s="1004">
        <f t="shared" si="160"/>
        <v>1.7951040065148804E-2</v>
      </c>
      <c r="AR212" s="1004">
        <f t="shared" si="160"/>
        <v>-0.13043478260869568</v>
      </c>
      <c r="AS212" s="1004">
        <f t="shared" si="160"/>
        <v>-2.605308010713403E-2</v>
      </c>
      <c r="AT212" s="191">
        <f t="shared" si="160"/>
        <v>-2.6365348399246757E-2</v>
      </c>
      <c r="AU212" s="1004">
        <f t="shared" si="160"/>
        <v>-7.4999999999999956E-2</v>
      </c>
      <c r="AV212" s="1004">
        <f t="shared" si="160"/>
        <v>2.0689655172413834E-2</v>
      </c>
      <c r="AW212" s="820">
        <f t="shared" si="160"/>
        <v>2.857142857142847E-2</v>
      </c>
      <c r="AX212" s="1004">
        <f t="shared" si="160"/>
        <v>0.29486607142857157</v>
      </c>
      <c r="AY212" s="191">
        <f t="shared" si="160"/>
        <v>6.0009671179883872E-2</v>
      </c>
      <c r="AZ212" s="1004">
        <f t="shared" si="160"/>
        <v>0.29752252252252265</v>
      </c>
      <c r="BA212" s="1004">
        <f t="shared" si="160"/>
        <v>-3.3614864864864868E-2</v>
      </c>
      <c r="BB212" s="1004">
        <f t="shared" si="160"/>
        <v>-1.3715277777777701E-2</v>
      </c>
      <c r="BC212" s="1004">
        <f t="shared" si="160"/>
        <v>-2.75814514738838E-2</v>
      </c>
      <c r="BD212" s="191">
        <f t="shared" si="160"/>
        <v>4.0281009078052987E-2</v>
      </c>
      <c r="BE212" s="191">
        <f>BE211/BD211-1</f>
        <v>-2.8065251710226224E-2</v>
      </c>
      <c r="BF212" s="191">
        <f>BF211/BE211-1</f>
        <v>-2.8875654214040813E-2</v>
      </c>
      <c r="BG212" s="191">
        <f>BG211/BF211-1</f>
        <v>-2.9734250139379248E-2</v>
      </c>
      <c r="BH212" s="572"/>
    </row>
    <row r="213" spans="1:60" s="120" customFormat="1" ht="7.5" hidden="1" customHeight="1" outlineLevel="1" x14ac:dyDescent="0.25">
      <c r="A213" s="216"/>
      <c r="B213" s="215"/>
      <c r="C213" s="100"/>
      <c r="D213" s="100"/>
      <c r="E213" s="100"/>
      <c r="F213" s="100"/>
      <c r="G213" s="1005"/>
      <c r="H213" s="1005"/>
      <c r="I213" s="1005"/>
      <c r="J213" s="1005"/>
      <c r="K213" s="100"/>
      <c r="L213" s="1005"/>
      <c r="M213" s="1005"/>
      <c r="N213" s="1005"/>
      <c r="O213" s="1005"/>
      <c r="P213" s="100"/>
      <c r="Q213" s="1005"/>
      <c r="R213" s="1005"/>
      <c r="S213" s="1005"/>
      <c r="T213" s="1005"/>
      <c r="U213" s="100"/>
      <c r="V213" s="1005"/>
      <c r="W213" s="1005"/>
      <c r="X213" s="1005"/>
      <c r="Y213" s="1005"/>
      <c r="Z213" s="100"/>
      <c r="AA213" s="1005"/>
      <c r="AB213" s="1005"/>
      <c r="AC213" s="1005"/>
      <c r="AD213" s="1005"/>
      <c r="AE213" s="100"/>
      <c r="AF213" s="1005"/>
      <c r="AG213" s="1005"/>
      <c r="AH213" s="1005"/>
      <c r="AI213" s="1005"/>
      <c r="AJ213" s="100"/>
      <c r="AK213" s="1005"/>
      <c r="AL213" s="1005"/>
      <c r="AM213" s="1005"/>
      <c r="AN213" s="1005"/>
      <c r="AO213" s="100"/>
      <c r="AP213" s="1005"/>
      <c r="AQ213" s="1005"/>
      <c r="AR213" s="1005"/>
      <c r="AS213" s="1005"/>
      <c r="AT213" s="100"/>
      <c r="AU213" s="1005"/>
      <c r="AV213" s="1005"/>
      <c r="AW213" s="727"/>
      <c r="AX213" s="1005"/>
      <c r="AY213" s="100"/>
      <c r="AZ213" s="1005"/>
      <c r="BA213" s="1005"/>
      <c r="BB213" s="1005"/>
      <c r="BC213" s="1005"/>
      <c r="BD213" s="100"/>
      <c r="BE213" s="100"/>
      <c r="BF213" s="100"/>
      <c r="BG213" s="100"/>
      <c r="BH213" s="366"/>
    </row>
    <row r="214" spans="1:60" s="116" customFormat="1" hidden="1" outlineLevel="1" x14ac:dyDescent="0.25">
      <c r="A214" s="832" t="s">
        <v>640</v>
      </c>
      <c r="B214" s="529"/>
      <c r="C214" s="45"/>
      <c r="D214" s="45"/>
      <c r="E214" s="45"/>
      <c r="F214" s="45"/>
      <c r="G214" s="44"/>
      <c r="H214" s="44"/>
      <c r="I214" s="44"/>
      <c r="J214" s="44"/>
      <c r="K214" s="45"/>
      <c r="L214" s="44"/>
      <c r="M214" s="44"/>
      <c r="N214" s="44"/>
      <c r="O214" s="44"/>
      <c r="P214" s="45"/>
      <c r="Q214" s="44"/>
      <c r="R214" s="44"/>
      <c r="S214" s="44"/>
      <c r="T214" s="44"/>
      <c r="U214" s="45"/>
      <c r="V214" s="44"/>
      <c r="W214" s="44"/>
      <c r="X214" s="44"/>
      <c r="Y214" s="44">
        <f t="shared" ref="Y214:AE214" si="161">Y227</f>
        <v>131.38499999999999</v>
      </c>
      <c r="Z214" s="45">
        <f t="shared" si="161"/>
        <v>181.39400000000001</v>
      </c>
      <c r="AA214" s="44">
        <f t="shared" si="161"/>
        <v>213.94399999999999</v>
      </c>
      <c r="AB214" s="44">
        <f t="shared" si="161"/>
        <v>286.77999999999997</v>
      </c>
      <c r="AC214" s="44">
        <f t="shared" si="161"/>
        <v>317.505</v>
      </c>
      <c r="AD214" s="44">
        <f t="shared" si="161"/>
        <v>298.03699999999998</v>
      </c>
      <c r="AE214" s="45">
        <f t="shared" si="161"/>
        <v>1116.2660000000001</v>
      </c>
      <c r="AF214" s="44">
        <f t="shared" ref="AF214:BG214" si="162">AF200+AF211</f>
        <v>410.02199999999999</v>
      </c>
      <c r="AG214" s="44">
        <f t="shared" si="162"/>
        <v>374.40800000000002</v>
      </c>
      <c r="AH214" s="44">
        <f t="shared" si="162"/>
        <v>399.31700000000001</v>
      </c>
      <c r="AI214" s="44">
        <f t="shared" si="162"/>
        <v>371.49699999999996</v>
      </c>
      <c r="AJ214" s="45">
        <f t="shared" si="162"/>
        <v>1555.2439999999999</v>
      </c>
      <c r="AK214" s="44">
        <f t="shared" si="162"/>
        <v>324.661</v>
      </c>
      <c r="AL214" s="44">
        <f t="shared" si="162"/>
        <v>368.20799999999997</v>
      </c>
      <c r="AM214" s="44">
        <f t="shared" si="162"/>
        <v>402</v>
      </c>
      <c r="AN214" s="44">
        <f t="shared" si="162"/>
        <v>436.13099999999997</v>
      </c>
      <c r="AO214" s="45">
        <f t="shared" si="162"/>
        <v>1531</v>
      </c>
      <c r="AP214" s="44">
        <f t="shared" si="162"/>
        <v>293</v>
      </c>
      <c r="AQ214" s="44">
        <f t="shared" si="162"/>
        <v>370</v>
      </c>
      <c r="AR214" s="44">
        <f t="shared" si="162"/>
        <v>579</v>
      </c>
      <c r="AS214" s="44">
        <f t="shared" si="162"/>
        <v>752</v>
      </c>
      <c r="AT214" s="45">
        <f t="shared" si="162"/>
        <v>1994</v>
      </c>
      <c r="AU214" s="44">
        <f t="shared" si="162"/>
        <v>494</v>
      </c>
      <c r="AV214" s="44">
        <f t="shared" si="162"/>
        <v>801</v>
      </c>
      <c r="AW214" s="729">
        <f t="shared" si="162"/>
        <v>806</v>
      </c>
      <c r="AX214" s="44">
        <f t="shared" si="162"/>
        <v>977.02499999999998</v>
      </c>
      <c r="AY214" s="45">
        <f t="shared" si="162"/>
        <v>3078.0250000000001</v>
      </c>
      <c r="AZ214" s="44">
        <f t="shared" si="162"/>
        <v>833.42499999999995</v>
      </c>
      <c r="BA214" s="44">
        <f t="shared" si="162"/>
        <v>1318.4250000000002</v>
      </c>
      <c r="BB214" s="44">
        <f t="shared" si="162"/>
        <v>1333.6250000000002</v>
      </c>
      <c r="BC214" s="44">
        <f t="shared" si="162"/>
        <v>1638.6250000000002</v>
      </c>
      <c r="BD214" s="45">
        <f t="shared" si="162"/>
        <v>5124.1000000000013</v>
      </c>
      <c r="BE214" s="45">
        <f t="shared" si="162"/>
        <v>7385.1000000000022</v>
      </c>
      <c r="BF214" s="45">
        <f t="shared" si="162"/>
        <v>10784.600000000004</v>
      </c>
      <c r="BG214" s="45">
        <f t="shared" si="162"/>
        <v>15891.850000000006</v>
      </c>
      <c r="BH214" s="368"/>
    </row>
    <row r="215" spans="1:60" s="833" customFormat="1" hidden="1" outlineLevel="1" x14ac:dyDescent="0.25">
      <c r="A215" s="985" t="s">
        <v>722</v>
      </c>
      <c r="B215" s="986"/>
      <c r="C215" s="987"/>
      <c r="D215" s="987"/>
      <c r="E215" s="987"/>
      <c r="F215" s="987"/>
      <c r="G215" s="988"/>
      <c r="H215" s="988"/>
      <c r="I215" s="988"/>
      <c r="J215" s="988"/>
      <c r="K215" s="987"/>
      <c r="L215" s="988"/>
      <c r="M215" s="988"/>
      <c r="N215" s="988"/>
      <c r="O215" s="988"/>
      <c r="P215" s="987"/>
      <c r="Q215" s="988"/>
      <c r="R215" s="988"/>
      <c r="S215" s="988"/>
      <c r="T215" s="988"/>
      <c r="U215" s="987"/>
      <c r="V215" s="988"/>
      <c r="W215" s="988"/>
      <c r="X215" s="988"/>
      <c r="Y215" s="988"/>
      <c r="Z215" s="987"/>
      <c r="AA215" s="988"/>
      <c r="AB215" s="988"/>
      <c r="AC215" s="988"/>
      <c r="AD215" s="988">
        <f t="shared" ref="AD215:BD215" si="163">AD214/Y214-1</f>
        <v>1.2684248582410471</v>
      </c>
      <c r="AE215" s="987">
        <f t="shared" si="163"/>
        <v>5.1538198617374338</v>
      </c>
      <c r="AF215" s="988">
        <f t="shared" si="163"/>
        <v>0.91649216617432616</v>
      </c>
      <c r="AG215" s="988">
        <f t="shared" si="163"/>
        <v>0.30555826766162242</v>
      </c>
      <c r="AH215" s="988">
        <f t="shared" si="163"/>
        <v>0.25767153273176802</v>
      </c>
      <c r="AI215" s="988">
        <f t="shared" si="163"/>
        <v>0.24647946395917275</v>
      </c>
      <c r="AJ215" s="987">
        <f t="shared" si="163"/>
        <v>0.39325572936916453</v>
      </c>
      <c r="AK215" s="988">
        <f t="shared" si="163"/>
        <v>-0.20818638999858541</v>
      </c>
      <c r="AL215" s="988">
        <f t="shared" si="163"/>
        <v>-1.6559475224888431E-2</v>
      </c>
      <c r="AM215" s="988">
        <f t="shared" si="163"/>
        <v>6.7189726457925758E-3</v>
      </c>
      <c r="AN215" s="988">
        <f t="shared" si="163"/>
        <v>0.17398256244330379</v>
      </c>
      <c r="AO215" s="987">
        <f t="shared" si="163"/>
        <v>-1.5588550735447293E-2</v>
      </c>
      <c r="AP215" s="988">
        <f t="shared" si="163"/>
        <v>-9.7520182590455917E-2</v>
      </c>
      <c r="AQ215" s="988">
        <f t="shared" si="163"/>
        <v>4.8668144092469667E-3</v>
      </c>
      <c r="AR215" s="988">
        <f t="shared" si="163"/>
        <v>0.44029850746268662</v>
      </c>
      <c r="AS215" s="988">
        <f t="shared" si="163"/>
        <v>0.72425257548764033</v>
      </c>
      <c r="AT215" s="987">
        <f t="shared" si="163"/>
        <v>0.30241672109732209</v>
      </c>
      <c r="AU215" s="988">
        <f t="shared" si="163"/>
        <v>0.68600682593856654</v>
      </c>
      <c r="AV215" s="988">
        <f t="shared" si="163"/>
        <v>1.1648648648648647</v>
      </c>
      <c r="AW215" s="989">
        <f t="shared" si="163"/>
        <v>0.39205526770293608</v>
      </c>
      <c r="AX215" s="988">
        <f t="shared" si="163"/>
        <v>0.29923537234042552</v>
      </c>
      <c r="AY215" s="987">
        <f t="shared" si="163"/>
        <v>0.54364343029087259</v>
      </c>
      <c r="AZ215" s="988">
        <f t="shared" si="163"/>
        <v>0.68709514170040475</v>
      </c>
      <c r="BA215" s="988">
        <f t="shared" si="163"/>
        <v>0.64597378277153572</v>
      </c>
      <c r="BB215" s="988">
        <f t="shared" si="163"/>
        <v>0.65462158808933024</v>
      </c>
      <c r="BC215" s="988">
        <f t="shared" si="163"/>
        <v>0.67715769811417337</v>
      </c>
      <c r="BD215" s="987">
        <f t="shared" si="163"/>
        <v>0.66473631630672303</v>
      </c>
      <c r="BE215" s="987">
        <f>BE214/BD214-1</f>
        <v>0.44124821919946933</v>
      </c>
      <c r="BF215" s="987">
        <f>BF214/BE214-1</f>
        <v>0.46031874991537025</v>
      </c>
      <c r="BG215" s="987">
        <f>BG214/BF214-1</f>
        <v>0.47356879253750717</v>
      </c>
      <c r="BH215" s="400"/>
    </row>
    <row r="216" spans="1:60" s="109" customFormat="1" hidden="1" outlineLevel="1" x14ac:dyDescent="0.25">
      <c r="A216" s="213"/>
      <c r="B216" s="214"/>
      <c r="C216" s="1051"/>
      <c r="D216" s="1051"/>
      <c r="E216" s="1051"/>
      <c r="F216" s="1051"/>
      <c r="G216" s="1052"/>
      <c r="H216" s="1052"/>
      <c r="I216" s="1052"/>
      <c r="J216" s="1052"/>
      <c r="K216" s="1051"/>
      <c r="L216" s="1052"/>
      <c r="M216" s="1052"/>
      <c r="N216" s="1052"/>
      <c r="O216" s="1052"/>
      <c r="P216" s="1051"/>
      <c r="Q216" s="1052"/>
      <c r="R216" s="1052"/>
      <c r="S216" s="1052"/>
      <c r="T216" s="1052"/>
      <c r="U216" s="1051"/>
      <c r="V216" s="1052"/>
      <c r="W216" s="1052"/>
      <c r="X216" s="1052"/>
      <c r="Y216" s="1052"/>
      <c r="Z216" s="1051"/>
      <c r="AA216" s="1052"/>
      <c r="AB216" s="1052"/>
      <c r="AC216" s="1052"/>
      <c r="AD216" s="1052"/>
      <c r="AE216" s="1051"/>
      <c r="AF216" s="1052"/>
      <c r="AG216" s="1052"/>
      <c r="AH216" s="1052"/>
      <c r="AI216" s="1052"/>
      <c r="AJ216" s="1051"/>
      <c r="AK216" s="1052"/>
      <c r="AL216" s="1052"/>
      <c r="AM216" s="1052"/>
      <c r="AN216" s="1052"/>
      <c r="AO216" s="1051"/>
      <c r="AP216" s="1052"/>
      <c r="AQ216" s="1052"/>
      <c r="AR216" s="1052"/>
      <c r="AS216" s="1052"/>
      <c r="AT216" s="1051"/>
      <c r="AU216" s="1052"/>
      <c r="AV216" s="1052"/>
      <c r="AW216" s="1053"/>
      <c r="AX216" s="1052"/>
      <c r="AY216" s="1051"/>
      <c r="AZ216" s="1052"/>
      <c r="BA216" s="1052"/>
      <c r="BB216" s="1052"/>
      <c r="BC216" s="1052"/>
      <c r="BD216" s="1051"/>
      <c r="BE216" s="1051"/>
      <c r="BF216" s="1051"/>
      <c r="BG216" s="1051"/>
      <c r="BH216" s="1024"/>
    </row>
    <row r="217" spans="1:60" s="116" customFormat="1" hidden="1" outlineLevel="1" x14ac:dyDescent="0.25">
      <c r="A217" s="905" t="s">
        <v>739</v>
      </c>
      <c r="B217" s="531"/>
      <c r="C217" s="438"/>
      <c r="D217" s="438"/>
      <c r="E217" s="438"/>
      <c r="F217" s="438"/>
      <c r="G217" s="437"/>
      <c r="H217" s="437"/>
      <c r="I217" s="437"/>
      <c r="J217" s="437"/>
      <c r="K217" s="438"/>
      <c r="L217" s="437"/>
      <c r="M217" s="437"/>
      <c r="N217" s="437"/>
      <c r="O217" s="437"/>
      <c r="P217" s="438"/>
      <c r="Q217" s="437"/>
      <c r="R217" s="437"/>
      <c r="S217" s="437"/>
      <c r="T217" s="437"/>
      <c r="U217" s="438"/>
      <c r="V217" s="437"/>
      <c r="W217" s="437"/>
      <c r="X217" s="437"/>
      <c r="Y217" s="437">
        <f t="shared" ref="Y217:AW217" si="164">Y244</f>
        <v>3.6059999999999945</v>
      </c>
      <c r="Z217" s="438">
        <f t="shared" si="164"/>
        <v>3.0620000000000118</v>
      </c>
      <c r="AA217" s="437">
        <f t="shared" si="164"/>
        <v>62.170999999999992</v>
      </c>
      <c r="AB217" s="437">
        <f t="shared" si="164"/>
        <v>83.017999999999972</v>
      </c>
      <c r="AC217" s="437">
        <f t="shared" si="164"/>
        <v>80.216999999999985</v>
      </c>
      <c r="AD217" s="437">
        <f t="shared" si="164"/>
        <v>16.322000000000003</v>
      </c>
      <c r="AE217" s="438">
        <f t="shared" si="164"/>
        <v>241.72800000000007</v>
      </c>
      <c r="AF217" s="437">
        <f t="shared" si="164"/>
        <v>34.658999999999992</v>
      </c>
      <c r="AG217" s="437">
        <f t="shared" si="164"/>
        <v>44.134999999999991</v>
      </c>
      <c r="AH217" s="437">
        <f t="shared" si="164"/>
        <v>68.763000000000034</v>
      </c>
      <c r="AI217" s="437">
        <f t="shared" si="164"/>
        <v>42.79099999999994</v>
      </c>
      <c r="AJ217" s="438">
        <f t="shared" si="164"/>
        <v>190.34799999999996</v>
      </c>
      <c r="AK217" s="437">
        <f t="shared" si="164"/>
        <v>7.7740000000000009</v>
      </c>
      <c r="AL217" s="437">
        <f t="shared" si="164"/>
        <v>42.685000000000002</v>
      </c>
      <c r="AM217" s="437">
        <f t="shared" si="164"/>
        <v>88</v>
      </c>
      <c r="AN217" s="437">
        <f t="shared" si="164"/>
        <v>51.54099999999994</v>
      </c>
      <c r="AO217" s="438">
        <f t="shared" si="164"/>
        <v>190</v>
      </c>
      <c r="AP217" s="437">
        <f t="shared" si="164"/>
        <v>11</v>
      </c>
      <c r="AQ217" s="437">
        <f t="shared" si="164"/>
        <v>21</v>
      </c>
      <c r="AR217" s="437">
        <f t="shared" si="164"/>
        <v>21</v>
      </c>
      <c r="AS217" s="437">
        <f t="shared" si="164"/>
        <v>-35</v>
      </c>
      <c r="AT217" s="438">
        <f t="shared" si="164"/>
        <v>18</v>
      </c>
      <c r="AU217" s="437">
        <f t="shared" si="164"/>
        <v>-101</v>
      </c>
      <c r="AV217" s="437">
        <f t="shared" si="164"/>
        <v>20</v>
      </c>
      <c r="AW217" s="725">
        <f t="shared" si="164"/>
        <v>3</v>
      </c>
      <c r="AX217" s="437">
        <f>AX214*AX218</f>
        <v>13.148261968085107</v>
      </c>
      <c r="AY217" s="438">
        <f>SUM(AU217,AV217,AW217,AX217)</f>
        <v>-64.851738031914891</v>
      </c>
      <c r="AZ217" s="437">
        <f>AZ214*AZ218</f>
        <v>12.95689068825912</v>
      </c>
      <c r="BA217" s="437">
        <f>BA214*BA218</f>
        <v>13.143100655430713</v>
      </c>
      <c r="BB217" s="437">
        <f>BB214*BB218</f>
        <v>11.631989764267992</v>
      </c>
      <c r="BC217" s="437">
        <f>BC214*BC218</f>
        <v>20.413083776595744</v>
      </c>
      <c r="BD217" s="438">
        <f>SUM(AZ217,BA217,BB217,BC217)</f>
        <v>58.145064884553562</v>
      </c>
      <c r="BE217" s="438">
        <f>BE214*BE218</f>
        <v>120.72697122010044</v>
      </c>
      <c r="BF217" s="438">
        <f>BF214*BF218</f>
        <v>197.86905969320594</v>
      </c>
      <c r="BG217" s="438">
        <f>BG214*BG218</f>
        <v>323.35737137264942</v>
      </c>
      <c r="BH217" s="368"/>
    </row>
    <row r="218" spans="1:60" s="120" customFormat="1" hidden="1" outlineLevel="1" x14ac:dyDescent="0.25">
      <c r="A218" s="983" t="s">
        <v>740</v>
      </c>
      <c r="B218" s="215"/>
      <c r="C218" s="100"/>
      <c r="D218" s="100"/>
      <c r="E218" s="100"/>
      <c r="F218" s="100"/>
      <c r="G218" s="1005"/>
      <c r="H218" s="1005"/>
      <c r="I218" s="1005"/>
      <c r="J218" s="1005"/>
      <c r="K218" s="100"/>
      <c r="L218" s="1005"/>
      <c r="M218" s="1005"/>
      <c r="N218" s="1005"/>
      <c r="O218" s="1005"/>
      <c r="P218" s="100"/>
      <c r="Q218" s="1005"/>
      <c r="R218" s="1005"/>
      <c r="S218" s="1005"/>
      <c r="T218" s="1005"/>
      <c r="U218" s="100"/>
      <c r="V218" s="1005"/>
      <c r="W218" s="1005"/>
      <c r="X218" s="1005"/>
      <c r="Y218" s="1005">
        <f t="shared" ref="Y218:AW218" si="165">Y217/Y214</f>
        <v>2.7446055485786009E-2</v>
      </c>
      <c r="Z218" s="100">
        <f t="shared" si="165"/>
        <v>1.6880381931045192E-2</v>
      </c>
      <c r="AA218" s="1005">
        <f t="shared" si="165"/>
        <v>0.29059473507085964</v>
      </c>
      <c r="AB218" s="1005">
        <f t="shared" si="165"/>
        <v>0.28948322756119665</v>
      </c>
      <c r="AC218" s="1005">
        <f t="shared" si="165"/>
        <v>0.25264798979543623</v>
      </c>
      <c r="AD218" s="1005">
        <f t="shared" si="165"/>
        <v>5.4765012397789546E-2</v>
      </c>
      <c r="AE218" s="100">
        <f t="shared" si="165"/>
        <v>0.21655053544585257</v>
      </c>
      <c r="AF218" s="1005">
        <f t="shared" si="165"/>
        <v>8.452961060626013E-2</v>
      </c>
      <c r="AG218" s="1005">
        <f t="shared" si="165"/>
        <v>0.11787942565329798</v>
      </c>
      <c r="AH218" s="1005">
        <f t="shared" si="165"/>
        <v>0.17220153411950914</v>
      </c>
      <c r="AI218" s="1005">
        <f t="shared" si="165"/>
        <v>0.11518531778183927</v>
      </c>
      <c r="AJ218" s="100">
        <f t="shared" si="165"/>
        <v>0.1223910846143756</v>
      </c>
      <c r="AK218" s="1005">
        <f t="shared" si="165"/>
        <v>2.3944976452361082E-2</v>
      </c>
      <c r="AL218" s="1005">
        <f t="shared" si="165"/>
        <v>0.11592632425151003</v>
      </c>
      <c r="AM218" s="1005">
        <f t="shared" si="165"/>
        <v>0.21890547263681592</v>
      </c>
      <c r="AN218" s="1005">
        <f t="shared" si="165"/>
        <v>0.11817779520373453</v>
      </c>
      <c r="AO218" s="100">
        <f t="shared" si="165"/>
        <v>0.12410189418680601</v>
      </c>
      <c r="AP218" s="1005">
        <f t="shared" si="165"/>
        <v>3.7542662116040959E-2</v>
      </c>
      <c r="AQ218" s="1005">
        <f t="shared" si="165"/>
        <v>5.675675675675676E-2</v>
      </c>
      <c r="AR218" s="1005">
        <f t="shared" si="165"/>
        <v>3.6269430051813469E-2</v>
      </c>
      <c r="AS218" s="1005">
        <f t="shared" si="165"/>
        <v>-4.6542553191489359E-2</v>
      </c>
      <c r="AT218" s="100">
        <f t="shared" si="165"/>
        <v>9.0270812437311942E-3</v>
      </c>
      <c r="AU218" s="1005">
        <f t="shared" si="165"/>
        <v>-0.20445344129554655</v>
      </c>
      <c r="AV218" s="1005">
        <f t="shared" si="165"/>
        <v>2.4968789013732832E-2</v>
      </c>
      <c r="AW218" s="727">
        <f t="shared" si="165"/>
        <v>3.7220843672456576E-3</v>
      </c>
      <c r="AX218" s="1005">
        <f>AS218+AX219/10000</f>
        <v>1.3457446808510638E-2</v>
      </c>
      <c r="AY218" s="100">
        <f>AY217/AY214</f>
        <v>-2.1069269428258344E-2</v>
      </c>
      <c r="AZ218" s="1005">
        <f t="shared" ref="AZ218" si="166">AU218+AZ219/10000</f>
        <v>1.5546558704453456E-2</v>
      </c>
      <c r="BA218" s="1005">
        <f t="shared" ref="BA218" si="167">AV218+BA219/10000</f>
        <v>9.968789013732833E-3</v>
      </c>
      <c r="BB218" s="1005">
        <f t="shared" ref="BB218" si="168">AW218+BB219/10000</f>
        <v>8.7220843672456572E-3</v>
      </c>
      <c r="BC218" s="1005">
        <f t="shared" ref="BC218" si="169">AX218+BC219/10000</f>
        <v>1.2457446808510637E-2</v>
      </c>
      <c r="BD218" s="100">
        <f>BD217/BD214</f>
        <v>1.1347371223152075E-2</v>
      </c>
      <c r="BE218" s="100">
        <f>BD218+BE219/10000</f>
        <v>1.6347371223152076E-2</v>
      </c>
      <c r="BF218" s="100">
        <f t="shared" ref="BF218" si="170">BE218+BF219/10000</f>
        <v>1.8347371223152074E-2</v>
      </c>
      <c r="BG218" s="100">
        <f t="shared" ref="BG218" si="171">BF218+BG219/10000</f>
        <v>2.0347371223152076E-2</v>
      </c>
      <c r="BH218" s="366"/>
    </row>
    <row r="219" spans="1:60" s="993" customFormat="1" hidden="1" outlineLevel="1" x14ac:dyDescent="0.25">
      <c r="A219" s="222" t="s">
        <v>809</v>
      </c>
      <c r="B219" s="919"/>
      <c r="C219" s="440"/>
      <c r="D219" s="440"/>
      <c r="E219" s="440"/>
      <c r="F219" s="440"/>
      <c r="G219" s="439"/>
      <c r="H219" s="439"/>
      <c r="I219" s="439"/>
      <c r="J219" s="439"/>
      <c r="K219" s="440"/>
      <c r="L219" s="439"/>
      <c r="M219" s="439"/>
      <c r="N219" s="439"/>
      <c r="O219" s="439"/>
      <c r="P219" s="440"/>
      <c r="Q219" s="439"/>
      <c r="R219" s="439"/>
      <c r="S219" s="439"/>
      <c r="T219" s="439"/>
      <c r="U219" s="440"/>
      <c r="V219" s="439"/>
      <c r="W219" s="439"/>
      <c r="X219" s="439"/>
      <c r="Y219" s="439"/>
      <c r="Z219" s="440"/>
      <c r="AA219" s="439"/>
      <c r="AB219" s="439"/>
      <c r="AC219" s="439"/>
      <c r="AD219" s="439">
        <f t="shared" ref="AD219:AW219" si="172">(AD218-Y218)*10000</f>
        <v>273.18956912003534</v>
      </c>
      <c r="AE219" s="440">
        <f t="shared" si="172"/>
        <v>1996.7015351480738</v>
      </c>
      <c r="AF219" s="439">
        <f t="shared" si="172"/>
        <v>-2060.6512446459951</v>
      </c>
      <c r="AG219" s="439">
        <f t="shared" si="172"/>
        <v>-1716.0380190789867</v>
      </c>
      <c r="AH219" s="439">
        <f t="shared" si="172"/>
        <v>-804.46455675927098</v>
      </c>
      <c r="AI219" s="439">
        <f t="shared" si="172"/>
        <v>604.2030538404972</v>
      </c>
      <c r="AJ219" s="440">
        <f t="shared" si="172"/>
        <v>-941.59450831476966</v>
      </c>
      <c r="AK219" s="439">
        <f t="shared" si="172"/>
        <v>-605.84634153899049</v>
      </c>
      <c r="AL219" s="439">
        <f t="shared" si="172"/>
        <v>-19.531014017879489</v>
      </c>
      <c r="AM219" s="439">
        <f t="shared" si="172"/>
        <v>467.03938517306779</v>
      </c>
      <c r="AN219" s="439">
        <f t="shared" si="172"/>
        <v>29.924774218952621</v>
      </c>
      <c r="AO219" s="440">
        <f t="shared" si="172"/>
        <v>17.108095724304022</v>
      </c>
      <c r="AP219" s="439">
        <f t="shared" si="172"/>
        <v>135.97685663679877</v>
      </c>
      <c r="AQ219" s="439">
        <f t="shared" si="172"/>
        <v>-591.69567494753278</v>
      </c>
      <c r="AR219" s="439">
        <f t="shared" si="172"/>
        <v>-1826.3604258500245</v>
      </c>
      <c r="AS219" s="439">
        <f t="shared" si="172"/>
        <v>-1647.2034839522389</v>
      </c>
      <c r="AT219" s="440">
        <f t="shared" si="172"/>
        <v>-1150.7481294307481</v>
      </c>
      <c r="AU219" s="439">
        <f t="shared" si="172"/>
        <v>-2419.961034115875</v>
      </c>
      <c r="AV219" s="439">
        <f t="shared" si="172"/>
        <v>-317.87967743023927</v>
      </c>
      <c r="AW219" s="726">
        <f t="shared" si="172"/>
        <v>-325.47345684567813</v>
      </c>
      <c r="AX219" s="1006">
        <v>600</v>
      </c>
      <c r="AY219" s="591">
        <f>(AY218-AT218)*10000</f>
        <v>-300.96350671989541</v>
      </c>
      <c r="AZ219" s="1006">
        <v>2200</v>
      </c>
      <c r="BA219" s="1006">
        <v>-150</v>
      </c>
      <c r="BB219" s="1006">
        <v>50</v>
      </c>
      <c r="BC219" s="1006">
        <v>-10</v>
      </c>
      <c r="BD219" s="591">
        <f>(BD218-AY218)*10000</f>
        <v>324.16640651410421</v>
      </c>
      <c r="BE219" s="1007">
        <v>50</v>
      </c>
      <c r="BF219" s="1007">
        <v>20</v>
      </c>
      <c r="BG219" s="1007">
        <v>20</v>
      </c>
      <c r="BH219" s="992"/>
    </row>
    <row r="220" spans="1:60" s="109" customFormat="1" hidden="1" outlineLevel="1" x14ac:dyDescent="0.25">
      <c r="A220" s="213"/>
      <c r="B220" s="214"/>
      <c r="C220" s="1051"/>
      <c r="D220" s="1051"/>
      <c r="E220" s="1051"/>
      <c r="F220" s="1051"/>
      <c r="G220" s="1052"/>
      <c r="H220" s="1052"/>
      <c r="I220" s="1052"/>
      <c r="J220" s="1052"/>
      <c r="K220" s="1051"/>
      <c r="L220" s="1052"/>
      <c r="M220" s="1052"/>
      <c r="N220" s="1052"/>
      <c r="O220" s="1052"/>
      <c r="P220" s="1051"/>
      <c r="Q220" s="1052"/>
      <c r="R220" s="1052"/>
      <c r="S220" s="1052"/>
      <c r="T220" s="1052"/>
      <c r="U220" s="1051"/>
      <c r="V220" s="1052"/>
      <c r="W220" s="1052"/>
      <c r="X220" s="1052"/>
      <c r="Y220" s="1052"/>
      <c r="Z220" s="1051"/>
      <c r="AA220" s="1052"/>
      <c r="AB220" s="1052"/>
      <c r="AC220" s="1052"/>
      <c r="AD220" s="1052"/>
      <c r="AE220" s="1051"/>
      <c r="AF220" s="1052"/>
      <c r="AG220" s="1052"/>
      <c r="AH220" s="1052"/>
      <c r="AI220" s="1052"/>
      <c r="AJ220" s="1051"/>
      <c r="AK220" s="1052"/>
      <c r="AL220" s="1052"/>
      <c r="AM220" s="1052"/>
      <c r="AN220" s="1052"/>
      <c r="AO220" s="1051"/>
      <c r="AP220" s="1052"/>
      <c r="AQ220" s="1052"/>
      <c r="AR220" s="1052"/>
      <c r="AS220" s="1052"/>
      <c r="AT220" s="1051"/>
      <c r="AU220" s="1052"/>
      <c r="AV220" s="1052"/>
      <c r="AW220" s="1053"/>
      <c r="AX220" s="1052"/>
      <c r="AY220" s="1051"/>
      <c r="AZ220" s="1052"/>
      <c r="BA220" s="1052"/>
      <c r="BB220" s="1052"/>
      <c r="BC220" s="1052"/>
      <c r="BD220" s="1051"/>
      <c r="BE220" s="1051"/>
      <c r="BF220" s="1051"/>
      <c r="BG220" s="1051"/>
      <c r="BH220" s="1024"/>
    </row>
    <row r="221" spans="1:60" s="112" customFormat="1" hidden="1" outlineLevel="1" x14ac:dyDescent="0.25">
      <c r="A221" s="216" t="s">
        <v>462</v>
      </c>
      <c r="B221" s="507"/>
      <c r="C221" s="252"/>
      <c r="D221" s="252"/>
      <c r="E221" s="252"/>
      <c r="F221" s="252"/>
      <c r="G221" s="370"/>
      <c r="H221" s="370"/>
      <c r="I221" s="370"/>
      <c r="J221" s="370"/>
      <c r="K221" s="252"/>
      <c r="L221" s="370"/>
      <c r="M221" s="370"/>
      <c r="N221" s="370"/>
      <c r="O221" s="370"/>
      <c r="P221" s="252"/>
      <c r="Q221" s="370"/>
      <c r="R221" s="370"/>
      <c r="S221" s="370"/>
      <c r="T221" s="370"/>
      <c r="U221" s="252"/>
      <c r="V221" s="370"/>
      <c r="W221" s="370"/>
      <c r="X221" s="370"/>
      <c r="Y221" s="370"/>
      <c r="Z221" s="100"/>
      <c r="AA221" s="1005"/>
      <c r="AB221" s="1005"/>
      <c r="AC221" s="1005"/>
      <c r="AD221" s="1005"/>
      <c r="AE221" s="100"/>
      <c r="AF221" s="366">
        <v>0.63</v>
      </c>
      <c r="AG221" s="367">
        <v>0.68</v>
      </c>
      <c r="AH221" s="367">
        <v>0.76</v>
      </c>
      <c r="AI221" s="1005"/>
      <c r="AJ221" s="93">
        <v>0.75</v>
      </c>
      <c r="AK221" s="1005">
        <v>0.73</v>
      </c>
      <c r="AL221" s="367">
        <v>0.7</v>
      </c>
      <c r="AM221" s="367">
        <v>0.69</v>
      </c>
      <c r="AN221" s="1005"/>
      <c r="AO221" s="100"/>
      <c r="AP221" s="1005"/>
      <c r="AQ221" s="1005"/>
      <c r="AR221" s="1005"/>
      <c r="AS221" s="1005"/>
      <c r="AT221" s="100"/>
      <c r="AU221" s="1005"/>
      <c r="AV221" s="1005"/>
      <c r="AW221" s="727"/>
      <c r="AX221" s="1005"/>
      <c r="AY221" s="100"/>
      <c r="AZ221" s="1005"/>
      <c r="BA221" s="1005"/>
      <c r="BB221" s="1005"/>
      <c r="BC221" s="1005"/>
      <c r="BD221" s="100"/>
      <c r="BE221" s="100"/>
      <c r="BF221" s="100"/>
      <c r="BG221" s="100"/>
      <c r="BH221" s="1034"/>
    </row>
    <row r="222" spans="1:60" s="112" customFormat="1" collapsed="1" x14ac:dyDescent="0.25">
      <c r="A222" s="216"/>
      <c r="B222" s="507"/>
      <c r="C222" s="252"/>
      <c r="D222" s="252"/>
      <c r="E222" s="252"/>
      <c r="F222" s="252"/>
      <c r="G222" s="370"/>
      <c r="H222" s="370"/>
      <c r="I222" s="370"/>
      <c r="J222" s="370"/>
      <c r="K222" s="252"/>
      <c r="L222" s="370"/>
      <c r="M222" s="370"/>
      <c r="N222" s="370"/>
      <c r="O222" s="370"/>
      <c r="P222" s="252"/>
      <c r="Q222" s="370"/>
      <c r="R222" s="370"/>
      <c r="S222" s="370"/>
      <c r="T222" s="370"/>
      <c r="U222" s="252"/>
      <c r="V222" s="370"/>
      <c r="W222" s="370"/>
      <c r="X222" s="370"/>
      <c r="Y222" s="370"/>
      <c r="Z222" s="100"/>
      <c r="AA222" s="1005"/>
      <c r="AB222" s="1005"/>
      <c r="AC222" s="1005"/>
      <c r="AD222" s="1005"/>
      <c r="AE222" s="100"/>
      <c r="AF222" s="1005"/>
      <c r="AG222" s="1005"/>
      <c r="AH222" s="1005"/>
      <c r="AI222" s="1005"/>
      <c r="AJ222" s="100"/>
      <c r="AK222" s="1005"/>
      <c r="AL222" s="1005"/>
      <c r="AM222" s="1005"/>
      <c r="AN222" s="1005"/>
      <c r="AO222" s="100"/>
      <c r="AP222" s="1005"/>
      <c r="AQ222" s="1005"/>
      <c r="AR222" s="1005"/>
      <c r="AS222" s="1005"/>
      <c r="AT222" s="100"/>
      <c r="AU222" s="1005"/>
      <c r="AV222" s="1005"/>
      <c r="AW222" s="727"/>
      <c r="AX222" s="1005"/>
      <c r="AY222" s="100"/>
      <c r="AZ222" s="1005"/>
      <c r="BA222" s="1005"/>
      <c r="BB222" s="1005"/>
      <c r="BC222" s="1005"/>
      <c r="BD222" s="100"/>
      <c r="BE222" s="100"/>
      <c r="BF222" s="100"/>
      <c r="BG222" s="100"/>
      <c r="BH222" s="1034"/>
    </row>
    <row r="223" spans="1:60" s="114" customFormat="1" x14ac:dyDescent="0.25">
      <c r="A223" s="161" t="s">
        <v>717</v>
      </c>
      <c r="B223" s="161"/>
      <c r="C223" s="161"/>
      <c r="D223" s="161"/>
      <c r="E223" s="161"/>
      <c r="F223" s="161"/>
      <c r="G223" s="161"/>
      <c r="H223" s="161"/>
      <c r="I223" s="161"/>
      <c r="J223" s="161"/>
      <c r="K223" s="161"/>
      <c r="L223" s="161"/>
      <c r="M223" s="161"/>
      <c r="N223" s="161"/>
      <c r="O223" s="161"/>
      <c r="P223" s="161"/>
      <c r="Q223" s="161"/>
      <c r="R223" s="161"/>
      <c r="S223" s="161"/>
      <c r="T223" s="161"/>
      <c r="U223" s="161"/>
      <c r="V223" s="161"/>
      <c r="W223" s="161"/>
      <c r="X223" s="161"/>
      <c r="Y223" s="161"/>
      <c r="Z223" s="161"/>
      <c r="AA223" s="161"/>
      <c r="AB223" s="161"/>
      <c r="AC223" s="161"/>
      <c r="AD223" s="161"/>
      <c r="AE223" s="161"/>
      <c r="AF223" s="161"/>
      <c r="AG223" s="161"/>
      <c r="AH223" s="161"/>
      <c r="AI223" s="161"/>
      <c r="AJ223" s="161"/>
      <c r="AK223" s="161"/>
      <c r="AL223" s="161"/>
      <c r="AM223" s="161"/>
      <c r="AN223" s="161"/>
      <c r="AO223" s="161"/>
      <c r="AP223" s="161"/>
      <c r="AQ223" s="161"/>
      <c r="AR223" s="161"/>
      <c r="AS223" s="161"/>
      <c r="AT223" s="161"/>
      <c r="AU223" s="161"/>
      <c r="AV223" s="161"/>
      <c r="AW223" s="721"/>
      <c r="AX223" s="161"/>
      <c r="AY223" s="161"/>
      <c r="AZ223" s="161"/>
      <c r="BA223" s="161"/>
      <c r="BB223" s="161"/>
      <c r="BC223" s="161"/>
      <c r="BD223" s="161"/>
      <c r="BE223" s="161"/>
      <c r="BF223" s="161"/>
      <c r="BG223" s="161"/>
      <c r="BH223" s="365"/>
    </row>
    <row r="224" spans="1:60" s="356" customFormat="1" x14ac:dyDescent="0.25">
      <c r="A224" s="360" t="s">
        <v>13</v>
      </c>
      <c r="B224" s="577"/>
      <c r="C224" s="35">
        <f t="shared" ref="C224:AW224" si="173">C333</f>
        <v>111.943</v>
      </c>
      <c r="D224" s="35">
        <f t="shared" si="173"/>
        <v>97.078000000000003</v>
      </c>
      <c r="E224" s="35">
        <f t="shared" si="173"/>
        <v>148.56800000000001</v>
      </c>
      <c r="F224" s="35">
        <f t="shared" si="173"/>
        <v>385.69900000000001</v>
      </c>
      <c r="G224" s="361">
        <f t="shared" si="173"/>
        <v>555.20299999999997</v>
      </c>
      <c r="H224" s="361">
        <f t="shared" si="173"/>
        <v>401.53500000000003</v>
      </c>
      <c r="I224" s="361">
        <f t="shared" si="173"/>
        <v>430.19600000000003</v>
      </c>
      <c r="J224" s="361">
        <f t="shared" si="173"/>
        <v>610.85200000000009</v>
      </c>
      <c r="K224" s="35">
        <f t="shared" si="173"/>
        <v>1997.7860000000001</v>
      </c>
      <c r="L224" s="361">
        <f t="shared" si="173"/>
        <v>588.87099999999998</v>
      </c>
      <c r="M224" s="361">
        <f t="shared" si="173"/>
        <v>727.82899999999995</v>
      </c>
      <c r="N224" s="361">
        <f t="shared" si="173"/>
        <v>799.91499999999996</v>
      </c>
      <c r="O224" s="361">
        <f t="shared" si="173"/>
        <v>890.39599999999996</v>
      </c>
      <c r="P224" s="35">
        <f t="shared" si="173"/>
        <v>3007.0120000000002</v>
      </c>
      <c r="Q224" s="361">
        <f t="shared" si="173"/>
        <v>893.32</v>
      </c>
      <c r="R224" s="361">
        <f t="shared" si="173"/>
        <v>878.09</v>
      </c>
      <c r="S224" s="361">
        <f t="shared" si="173"/>
        <v>852.55499999999995</v>
      </c>
      <c r="T224" s="361">
        <f t="shared" si="173"/>
        <v>1117.008</v>
      </c>
      <c r="U224" s="35">
        <f t="shared" si="173"/>
        <v>3740.973</v>
      </c>
      <c r="V224" s="361">
        <f t="shared" si="173"/>
        <v>1026.0640000000001</v>
      </c>
      <c r="W224" s="36">
        <f t="shared" si="173"/>
        <v>1181.8520000000001</v>
      </c>
      <c r="X224" s="36">
        <f t="shared" si="173"/>
        <v>1917.442</v>
      </c>
      <c r="Y224" s="361">
        <f t="shared" si="173"/>
        <v>1739.4490000000001</v>
      </c>
      <c r="Z224" s="35">
        <f t="shared" si="173"/>
        <v>5589.0069999999996</v>
      </c>
      <c r="AA224" s="361">
        <f t="shared" si="173"/>
        <v>2035.06</v>
      </c>
      <c r="AB224" s="36">
        <f t="shared" si="173"/>
        <v>2013.8520000000001</v>
      </c>
      <c r="AC224" s="36">
        <f t="shared" si="173"/>
        <v>2076.7310000000002</v>
      </c>
      <c r="AD224" s="361">
        <f t="shared" si="173"/>
        <v>2409.1089999999999</v>
      </c>
      <c r="AE224" s="35">
        <f t="shared" si="173"/>
        <v>8534.7520000000004</v>
      </c>
      <c r="AF224" s="361">
        <f t="shared" si="173"/>
        <v>2561.8809999999999</v>
      </c>
      <c r="AG224" s="36">
        <f t="shared" si="173"/>
        <v>3117.8649999999998</v>
      </c>
      <c r="AH224" s="36">
        <f t="shared" si="173"/>
        <v>5878.3050000000003</v>
      </c>
      <c r="AI224" s="361">
        <f t="shared" si="173"/>
        <v>6073.4710000000014</v>
      </c>
      <c r="AJ224" s="35">
        <f t="shared" si="173"/>
        <v>17631.522000000001</v>
      </c>
      <c r="AK224" s="361">
        <f t="shared" si="173"/>
        <v>3508.741</v>
      </c>
      <c r="AL224" s="36">
        <f t="shared" si="173"/>
        <v>5168.027</v>
      </c>
      <c r="AM224" s="36">
        <f t="shared" si="173"/>
        <v>5132</v>
      </c>
      <c r="AN224" s="361">
        <f t="shared" si="173"/>
        <v>6143.232</v>
      </c>
      <c r="AO224" s="35">
        <f t="shared" si="173"/>
        <v>19952</v>
      </c>
      <c r="AP224" s="361">
        <f t="shared" si="173"/>
        <v>4893</v>
      </c>
      <c r="AQ224" s="36">
        <f t="shared" si="173"/>
        <v>4911</v>
      </c>
      <c r="AR224" s="36">
        <f t="shared" si="173"/>
        <v>7346</v>
      </c>
      <c r="AS224" s="361">
        <f t="shared" si="173"/>
        <v>9034</v>
      </c>
      <c r="AT224" s="35">
        <f t="shared" si="173"/>
        <v>26184</v>
      </c>
      <c r="AU224" s="361">
        <f t="shared" si="173"/>
        <v>8705</v>
      </c>
      <c r="AV224" s="36">
        <f t="shared" si="173"/>
        <v>9874</v>
      </c>
      <c r="AW224" s="792">
        <f t="shared" si="173"/>
        <v>11672</v>
      </c>
      <c r="AX224" s="439">
        <f>AX125</f>
        <v>14431.078883581489</v>
      </c>
      <c r="AY224" s="440">
        <f>SUM(AU224,AV224,AW224,AX224)</f>
        <v>44682.078883581489</v>
      </c>
      <c r="AZ224" s="439">
        <f>AZ125</f>
        <v>18531.323500109178</v>
      </c>
      <c r="BA224" s="439">
        <f>BA125</f>
        <v>21544.697249534292</v>
      </c>
      <c r="BB224" s="439">
        <f>BB125</f>
        <v>25768.079993416093</v>
      </c>
      <c r="BC224" s="439">
        <f>BC125</f>
        <v>28950.575202040371</v>
      </c>
      <c r="BD224" s="440">
        <f>SUM(AZ224,BA224,BB224,BC224)</f>
        <v>94794.675945099938</v>
      </c>
      <c r="BE224" s="440">
        <f>BE125</f>
        <v>114341.07669957618</v>
      </c>
      <c r="BF224" s="440">
        <f>BF125</f>
        <v>137817.26739305412</v>
      </c>
      <c r="BG224" s="440">
        <f>BG125</f>
        <v>166126.03717184966</v>
      </c>
      <c r="BH224" s="361"/>
    </row>
    <row r="225" spans="1:60" s="356" customFormat="1" x14ac:dyDescent="0.25">
      <c r="A225" s="360" t="s">
        <v>14</v>
      </c>
      <c r="B225" s="577"/>
      <c r="C225" s="440"/>
      <c r="D225" s="440"/>
      <c r="E225" s="440"/>
      <c r="F225" s="440"/>
      <c r="G225" s="439"/>
      <c r="H225" s="439"/>
      <c r="I225" s="439"/>
      <c r="J225" s="439"/>
      <c r="K225" s="440"/>
      <c r="L225" s="439"/>
      <c r="M225" s="439"/>
      <c r="N225" s="439"/>
      <c r="O225" s="439"/>
      <c r="P225" s="440"/>
      <c r="Q225" s="439"/>
      <c r="R225" s="439"/>
      <c r="S225" s="439"/>
      <c r="T225" s="439"/>
      <c r="U225" s="440"/>
      <c r="V225" s="439"/>
      <c r="W225" s="439"/>
      <c r="X225" s="36">
        <f t="shared" ref="X225:AW225" si="174">X334</f>
        <v>231.285</v>
      </c>
      <c r="Y225" s="361">
        <f t="shared" si="174"/>
        <v>254.67400000000001</v>
      </c>
      <c r="Z225" s="35">
        <f t="shared" si="174"/>
        <v>761.75900000000001</v>
      </c>
      <c r="AA225" s="361">
        <f t="shared" si="174"/>
        <v>254.54</v>
      </c>
      <c r="AB225" s="36">
        <f t="shared" si="174"/>
        <v>272.76400000000001</v>
      </c>
      <c r="AC225" s="36">
        <f t="shared" si="174"/>
        <v>286.15800000000002</v>
      </c>
      <c r="AD225" s="361">
        <f t="shared" si="174"/>
        <v>293.08600000000001</v>
      </c>
      <c r="AE225" s="35">
        <f t="shared" si="174"/>
        <v>1106.548</v>
      </c>
      <c r="AF225" s="361">
        <f t="shared" si="174"/>
        <v>173.43600000000001</v>
      </c>
      <c r="AG225" s="36">
        <f t="shared" si="174"/>
        <v>239.816</v>
      </c>
      <c r="AH225" s="36">
        <f t="shared" si="174"/>
        <v>220.46100000000001</v>
      </c>
      <c r="AI225" s="361">
        <f t="shared" si="174"/>
        <v>249.74800000000005</v>
      </c>
      <c r="AJ225" s="35">
        <f t="shared" si="174"/>
        <v>883.46100000000001</v>
      </c>
      <c r="AK225" s="361">
        <f t="shared" si="174"/>
        <v>215.12</v>
      </c>
      <c r="AL225" s="36">
        <f t="shared" si="174"/>
        <v>208.36199999999999</v>
      </c>
      <c r="AM225" s="36">
        <f t="shared" si="174"/>
        <v>221</v>
      </c>
      <c r="AN225" s="361">
        <f t="shared" si="174"/>
        <v>224.51800000000003</v>
      </c>
      <c r="AO225" s="35">
        <f t="shared" si="174"/>
        <v>869</v>
      </c>
      <c r="AP225" s="361">
        <f t="shared" si="174"/>
        <v>239</v>
      </c>
      <c r="AQ225" s="36">
        <f t="shared" si="174"/>
        <v>268</v>
      </c>
      <c r="AR225" s="36">
        <f t="shared" si="174"/>
        <v>265</v>
      </c>
      <c r="AS225" s="361">
        <f t="shared" si="174"/>
        <v>280</v>
      </c>
      <c r="AT225" s="35">
        <f t="shared" si="174"/>
        <v>1052</v>
      </c>
      <c r="AU225" s="361">
        <f t="shared" si="174"/>
        <v>297</v>
      </c>
      <c r="AV225" s="36">
        <f t="shared" si="174"/>
        <v>332</v>
      </c>
      <c r="AW225" s="792">
        <f t="shared" si="174"/>
        <v>385</v>
      </c>
      <c r="AX225" s="361">
        <f>AX167</f>
        <v>449.31916118045035</v>
      </c>
      <c r="AY225" s="440">
        <f>+SUM(AU225,AV225,AW225,AX225)</f>
        <v>1463.3191611804505</v>
      </c>
      <c r="AZ225" s="361">
        <f>AZ167</f>
        <v>515.3330739167219</v>
      </c>
      <c r="BA225" s="361">
        <f>BA167</f>
        <v>591.67387694269951</v>
      </c>
      <c r="BB225" s="361">
        <f>BB167</f>
        <v>706.46385283217262</v>
      </c>
      <c r="BC225" s="361">
        <f>BC167</f>
        <v>829.84534121518948</v>
      </c>
      <c r="BD225" s="440">
        <f>+SUM(AZ225,BA225,BB225,BC225)</f>
        <v>2643.3161449067834</v>
      </c>
      <c r="BE225" s="440">
        <f>BE167</f>
        <v>4346.2056744458559</v>
      </c>
      <c r="BF225" s="440">
        <f>BF167</f>
        <v>6031.5800219327875</v>
      </c>
      <c r="BG225" s="440">
        <f>BG167</f>
        <v>7791.0622713962084</v>
      </c>
      <c r="BH225" s="361"/>
    </row>
    <row r="226" spans="1:60" s="356" customFormat="1" x14ac:dyDescent="0.25">
      <c r="A226" s="360" t="s">
        <v>15</v>
      </c>
      <c r="B226" s="577"/>
      <c r="C226" s="440"/>
      <c r="D226" s="35">
        <f t="shared" ref="D226:AW226" si="175">D336</f>
        <v>19.666</v>
      </c>
      <c r="E226" s="35">
        <f t="shared" si="175"/>
        <v>55.673999999999999</v>
      </c>
      <c r="F226" s="35">
        <f t="shared" si="175"/>
        <v>27.556999999999999</v>
      </c>
      <c r="G226" s="361">
        <f t="shared" si="175"/>
        <v>6.5890000000000004</v>
      </c>
      <c r="H226" s="361">
        <f t="shared" si="175"/>
        <v>3.6040000000000001</v>
      </c>
      <c r="I226" s="361">
        <f t="shared" si="175"/>
        <v>1.1499999999999999</v>
      </c>
      <c r="J226" s="361">
        <f t="shared" si="175"/>
        <v>4.3669999999999991</v>
      </c>
      <c r="K226" s="35">
        <f t="shared" si="175"/>
        <v>15.71</v>
      </c>
      <c r="L226" s="361">
        <f t="shared" si="175"/>
        <v>31.670999999999999</v>
      </c>
      <c r="M226" s="361">
        <f t="shared" si="175"/>
        <v>41.52</v>
      </c>
      <c r="N226" s="361">
        <f t="shared" si="175"/>
        <v>51.889000000000003</v>
      </c>
      <c r="O226" s="361">
        <f t="shared" si="175"/>
        <v>66.265000000000001</v>
      </c>
      <c r="P226" s="35">
        <f t="shared" si="175"/>
        <v>191.34399999999999</v>
      </c>
      <c r="Q226" s="361">
        <f t="shared" si="175"/>
        <v>46.56</v>
      </c>
      <c r="R226" s="361">
        <f t="shared" si="175"/>
        <v>76.885999999999996</v>
      </c>
      <c r="S226" s="361">
        <f t="shared" si="175"/>
        <v>84.233999999999995</v>
      </c>
      <c r="T226" s="361">
        <f t="shared" si="175"/>
        <v>97.372</v>
      </c>
      <c r="U226" s="35">
        <f t="shared" si="175"/>
        <v>305.05200000000002</v>
      </c>
      <c r="V226" s="361">
        <f t="shared" si="175"/>
        <v>120.98399999999999</v>
      </c>
      <c r="W226" s="36">
        <f t="shared" si="175"/>
        <v>88.165000000000006</v>
      </c>
      <c r="X226" s="36">
        <f t="shared" si="175"/>
        <v>149.709</v>
      </c>
      <c r="Y226" s="361">
        <f t="shared" si="175"/>
        <v>159.12299999999999</v>
      </c>
      <c r="Z226" s="35">
        <f t="shared" si="175"/>
        <v>467.97199999999998</v>
      </c>
      <c r="AA226" s="361">
        <f t="shared" si="175"/>
        <v>192.726</v>
      </c>
      <c r="AB226" s="36">
        <f t="shared" si="175"/>
        <v>216.161</v>
      </c>
      <c r="AC226" s="36">
        <f t="shared" si="175"/>
        <v>304.28100000000001</v>
      </c>
      <c r="AD226" s="361">
        <f t="shared" si="175"/>
        <v>288.017</v>
      </c>
      <c r="AE226" s="35">
        <f t="shared" si="175"/>
        <v>1001.1849999999999</v>
      </c>
      <c r="AF226" s="361">
        <f t="shared" si="175"/>
        <v>263.41199999999998</v>
      </c>
      <c r="AG226" s="36">
        <f t="shared" si="175"/>
        <v>270.142</v>
      </c>
      <c r="AH226" s="36">
        <f t="shared" si="175"/>
        <v>326.33</v>
      </c>
      <c r="AI226" s="361">
        <f t="shared" si="175"/>
        <v>531.15699999999993</v>
      </c>
      <c r="AJ226" s="35">
        <f t="shared" si="175"/>
        <v>1391.0409999999999</v>
      </c>
      <c r="AK226" s="361">
        <f t="shared" si="175"/>
        <v>492.94200000000001</v>
      </c>
      <c r="AL226" s="36">
        <f t="shared" si="175"/>
        <v>605.07899999999995</v>
      </c>
      <c r="AM226" s="36">
        <f t="shared" si="175"/>
        <v>548</v>
      </c>
      <c r="AN226" s="361">
        <f t="shared" si="175"/>
        <v>579.97900000000004</v>
      </c>
      <c r="AO226" s="35">
        <f t="shared" si="175"/>
        <v>2226</v>
      </c>
      <c r="AP226" s="361">
        <f t="shared" si="175"/>
        <v>560</v>
      </c>
      <c r="AQ226" s="36">
        <f t="shared" si="175"/>
        <v>487</v>
      </c>
      <c r="AR226" s="36">
        <f t="shared" si="175"/>
        <v>581</v>
      </c>
      <c r="AS226" s="361">
        <f t="shared" si="175"/>
        <v>678</v>
      </c>
      <c r="AT226" s="35">
        <f t="shared" si="175"/>
        <v>2306</v>
      </c>
      <c r="AU226" s="361">
        <f t="shared" si="175"/>
        <v>893</v>
      </c>
      <c r="AV226" s="36">
        <f t="shared" si="175"/>
        <v>951</v>
      </c>
      <c r="AW226" s="792">
        <f t="shared" si="175"/>
        <v>894</v>
      </c>
      <c r="AX226" s="439">
        <f>AX186</f>
        <v>1041.6278631333359</v>
      </c>
      <c r="AY226" s="440">
        <f>SUM(AU226,AV226,AW226,AX226)</f>
        <v>3779.6278631333362</v>
      </c>
      <c r="AZ226" s="439">
        <f>AZ186</f>
        <v>1523.732525922072</v>
      </c>
      <c r="BA226" s="439">
        <f>BA186</f>
        <v>1770.9096901181595</v>
      </c>
      <c r="BB226" s="439">
        <f>BB186</f>
        <v>2382.7089461623441</v>
      </c>
      <c r="BC226" s="439">
        <f>BC186</f>
        <v>2680.2378488930003</v>
      </c>
      <c r="BD226" s="440">
        <f>SUM(AZ226,BA226,BB226,BC226)</f>
        <v>8357.589011095577</v>
      </c>
      <c r="BE226" s="440">
        <f>BE186</f>
        <v>10681.855413661982</v>
      </c>
      <c r="BF226" s="440">
        <f>BF186</f>
        <v>12946.39626734882</v>
      </c>
      <c r="BG226" s="440">
        <f>BG186</f>
        <v>15652.538949892129</v>
      </c>
      <c r="BH226" s="361"/>
    </row>
    <row r="227" spans="1:60" s="356" customFormat="1" x14ac:dyDescent="0.25">
      <c r="A227" s="526" t="s">
        <v>16</v>
      </c>
      <c r="B227" s="577"/>
      <c r="C227" s="440"/>
      <c r="D227" s="440"/>
      <c r="E227" s="440"/>
      <c r="F227" s="440"/>
      <c r="G227" s="439"/>
      <c r="H227" s="439"/>
      <c r="I227" s="439"/>
      <c r="J227" s="439"/>
      <c r="K227" s="440"/>
      <c r="L227" s="439"/>
      <c r="M227" s="439"/>
      <c r="N227" s="439"/>
      <c r="O227" s="439"/>
      <c r="P227" s="440"/>
      <c r="Q227" s="439"/>
      <c r="R227" s="439"/>
      <c r="S227" s="439"/>
      <c r="T227" s="439"/>
      <c r="U227" s="440"/>
      <c r="V227" s="439"/>
      <c r="W227" s="439"/>
      <c r="X227" s="439"/>
      <c r="Y227" s="439">
        <f t="shared" ref="Y227:AW227" si="176">Y335</f>
        <v>131.38499999999999</v>
      </c>
      <c r="Z227" s="440">
        <f t="shared" si="176"/>
        <v>181.39400000000001</v>
      </c>
      <c r="AA227" s="439">
        <f t="shared" si="176"/>
        <v>213.94399999999999</v>
      </c>
      <c r="AB227" s="439">
        <f t="shared" si="176"/>
        <v>286.77999999999997</v>
      </c>
      <c r="AC227" s="439">
        <f t="shared" si="176"/>
        <v>317.505</v>
      </c>
      <c r="AD227" s="439">
        <f t="shared" si="176"/>
        <v>298.03699999999998</v>
      </c>
      <c r="AE227" s="440">
        <f t="shared" si="176"/>
        <v>1116.2660000000001</v>
      </c>
      <c r="AF227" s="439">
        <f t="shared" si="176"/>
        <v>410.02199999999999</v>
      </c>
      <c r="AG227" s="439">
        <f t="shared" si="176"/>
        <v>374.40800000000002</v>
      </c>
      <c r="AH227" s="439">
        <f t="shared" si="176"/>
        <v>399.31700000000001</v>
      </c>
      <c r="AI227" s="439">
        <f t="shared" si="176"/>
        <v>371.49699999999984</v>
      </c>
      <c r="AJ227" s="440">
        <f t="shared" si="176"/>
        <v>1555.2439999999999</v>
      </c>
      <c r="AK227" s="439">
        <f t="shared" si="176"/>
        <v>324.661</v>
      </c>
      <c r="AL227" s="439">
        <f t="shared" si="176"/>
        <v>368.20800000000003</v>
      </c>
      <c r="AM227" s="439">
        <f t="shared" si="176"/>
        <v>402</v>
      </c>
      <c r="AN227" s="439">
        <f t="shared" si="176"/>
        <v>436.13099999999986</v>
      </c>
      <c r="AO227" s="440">
        <f t="shared" si="176"/>
        <v>1531</v>
      </c>
      <c r="AP227" s="439">
        <f t="shared" si="176"/>
        <v>293</v>
      </c>
      <c r="AQ227" s="439">
        <f t="shared" si="176"/>
        <v>370</v>
      </c>
      <c r="AR227" s="439">
        <f t="shared" si="176"/>
        <v>579</v>
      </c>
      <c r="AS227" s="439">
        <f t="shared" si="176"/>
        <v>752</v>
      </c>
      <c r="AT227" s="440">
        <f t="shared" si="176"/>
        <v>1994</v>
      </c>
      <c r="AU227" s="439">
        <f t="shared" si="176"/>
        <v>494</v>
      </c>
      <c r="AV227" s="439">
        <f t="shared" si="176"/>
        <v>801</v>
      </c>
      <c r="AW227" s="726">
        <f t="shared" si="176"/>
        <v>806</v>
      </c>
      <c r="AX227" s="439">
        <f>AX214</f>
        <v>977.02499999999998</v>
      </c>
      <c r="AY227" s="440">
        <f>SUM(AU227,AV227,AW227,AX227)</f>
        <v>3078.0250000000001</v>
      </c>
      <c r="AZ227" s="439">
        <f>AZ214</f>
        <v>833.42499999999995</v>
      </c>
      <c r="BA227" s="439">
        <f>BA214</f>
        <v>1318.4250000000002</v>
      </c>
      <c r="BB227" s="439">
        <f>BB214</f>
        <v>1333.6250000000002</v>
      </c>
      <c r="BC227" s="439">
        <f>BC214</f>
        <v>1638.6250000000002</v>
      </c>
      <c r="BD227" s="440">
        <f>SUM(AZ227,BA227,BB227,BC227)</f>
        <v>5124.1000000000004</v>
      </c>
      <c r="BE227" s="440">
        <f>BE214</f>
        <v>7385.1000000000022</v>
      </c>
      <c r="BF227" s="440">
        <f>BF214</f>
        <v>10784.600000000004</v>
      </c>
      <c r="BG227" s="440">
        <f>BG214</f>
        <v>15891.850000000006</v>
      </c>
      <c r="BH227" s="361"/>
    </row>
    <row r="228" spans="1:60" s="116" customFormat="1" x14ac:dyDescent="0.25">
      <c r="A228" s="86" t="s">
        <v>17</v>
      </c>
      <c r="B228" s="636"/>
      <c r="C228" s="29">
        <f t="shared" ref="C228:AH228" si="177">C224+C225+C226+C227</f>
        <v>111.943</v>
      </c>
      <c r="D228" s="29">
        <f t="shared" si="177"/>
        <v>116.744</v>
      </c>
      <c r="E228" s="29">
        <f t="shared" si="177"/>
        <v>204.24200000000002</v>
      </c>
      <c r="F228" s="29">
        <f t="shared" si="177"/>
        <v>413.25600000000003</v>
      </c>
      <c r="G228" s="30">
        <f t="shared" si="177"/>
        <v>561.79200000000003</v>
      </c>
      <c r="H228" s="30">
        <f t="shared" si="177"/>
        <v>405.13900000000001</v>
      </c>
      <c r="I228" s="30">
        <f t="shared" si="177"/>
        <v>431.346</v>
      </c>
      <c r="J228" s="30">
        <f t="shared" si="177"/>
        <v>615.21900000000005</v>
      </c>
      <c r="K228" s="29">
        <f t="shared" si="177"/>
        <v>2013.4960000000001</v>
      </c>
      <c r="L228" s="30">
        <f t="shared" si="177"/>
        <v>620.54200000000003</v>
      </c>
      <c r="M228" s="30">
        <f t="shared" si="177"/>
        <v>769.34899999999993</v>
      </c>
      <c r="N228" s="30">
        <f t="shared" si="177"/>
        <v>851.80399999999997</v>
      </c>
      <c r="O228" s="30">
        <f t="shared" si="177"/>
        <v>956.66099999999994</v>
      </c>
      <c r="P228" s="29">
        <f t="shared" si="177"/>
        <v>3198.3560000000002</v>
      </c>
      <c r="Q228" s="30">
        <f t="shared" si="177"/>
        <v>939.88000000000011</v>
      </c>
      <c r="R228" s="30">
        <f t="shared" si="177"/>
        <v>954.976</v>
      </c>
      <c r="S228" s="30">
        <f t="shared" si="177"/>
        <v>936.78899999999999</v>
      </c>
      <c r="T228" s="30">
        <f t="shared" si="177"/>
        <v>1214.3800000000001</v>
      </c>
      <c r="U228" s="29">
        <f t="shared" si="177"/>
        <v>4046.0250000000001</v>
      </c>
      <c r="V228" s="30">
        <f t="shared" si="177"/>
        <v>1147.048</v>
      </c>
      <c r="W228" s="31">
        <f t="shared" si="177"/>
        <v>1270.0170000000001</v>
      </c>
      <c r="X228" s="31">
        <f t="shared" si="177"/>
        <v>2298.4359999999997</v>
      </c>
      <c r="Y228" s="30">
        <f t="shared" si="177"/>
        <v>2284.6310000000003</v>
      </c>
      <c r="Z228" s="29">
        <f t="shared" si="177"/>
        <v>7000.1319999999996</v>
      </c>
      <c r="AA228" s="30">
        <f t="shared" si="177"/>
        <v>2696.27</v>
      </c>
      <c r="AB228" s="31">
        <f t="shared" si="177"/>
        <v>2789.5569999999998</v>
      </c>
      <c r="AC228" s="31">
        <f t="shared" si="177"/>
        <v>2984.6750000000002</v>
      </c>
      <c r="AD228" s="30">
        <f t="shared" si="177"/>
        <v>3288.2489999999993</v>
      </c>
      <c r="AE228" s="29">
        <f t="shared" si="177"/>
        <v>11758.751</v>
      </c>
      <c r="AF228" s="30">
        <f t="shared" si="177"/>
        <v>3408.7509999999997</v>
      </c>
      <c r="AG228" s="31">
        <f t="shared" si="177"/>
        <v>4002.2309999999993</v>
      </c>
      <c r="AH228" s="31">
        <f t="shared" si="177"/>
        <v>6824.4130000000005</v>
      </c>
      <c r="AI228" s="30">
        <f t="shared" ref="AI228:BG228" si="178">AI224+AI225+AI226+AI227</f>
        <v>7225.8730000000014</v>
      </c>
      <c r="AJ228" s="29">
        <f t="shared" si="178"/>
        <v>21461.268</v>
      </c>
      <c r="AK228" s="30">
        <f t="shared" si="178"/>
        <v>4541.4639999999999</v>
      </c>
      <c r="AL228" s="31">
        <f t="shared" si="178"/>
        <v>6349.6759999999995</v>
      </c>
      <c r="AM228" s="31">
        <f t="shared" si="178"/>
        <v>6303</v>
      </c>
      <c r="AN228" s="30">
        <f t="shared" si="178"/>
        <v>7383.8600000000006</v>
      </c>
      <c r="AO228" s="29">
        <f t="shared" si="178"/>
        <v>24578</v>
      </c>
      <c r="AP228" s="30">
        <f t="shared" si="178"/>
        <v>5985</v>
      </c>
      <c r="AQ228" s="31">
        <f t="shared" si="178"/>
        <v>6036</v>
      </c>
      <c r="AR228" s="31">
        <f t="shared" si="178"/>
        <v>8771</v>
      </c>
      <c r="AS228" s="30">
        <f t="shared" si="178"/>
        <v>10744</v>
      </c>
      <c r="AT228" s="29">
        <f t="shared" si="178"/>
        <v>31536</v>
      </c>
      <c r="AU228" s="30">
        <f t="shared" si="178"/>
        <v>10389</v>
      </c>
      <c r="AV228" s="31">
        <f t="shared" si="178"/>
        <v>11958</v>
      </c>
      <c r="AW228" s="795">
        <f t="shared" si="178"/>
        <v>13757</v>
      </c>
      <c r="AX228" s="44">
        <f t="shared" si="178"/>
        <v>16899.050907895275</v>
      </c>
      <c r="AY228" s="45">
        <f t="shared" si="178"/>
        <v>53003.050907895275</v>
      </c>
      <c r="AZ228" s="44">
        <f t="shared" si="178"/>
        <v>21403.814099947969</v>
      </c>
      <c r="BA228" s="44">
        <f t="shared" si="178"/>
        <v>25225.705816595149</v>
      </c>
      <c r="BB228" s="44">
        <f t="shared" si="178"/>
        <v>30190.877792410611</v>
      </c>
      <c r="BC228" s="44">
        <f t="shared" si="178"/>
        <v>34099.283392148565</v>
      </c>
      <c r="BD228" s="45">
        <f t="shared" si="178"/>
        <v>110919.68110110231</v>
      </c>
      <c r="BE228" s="45">
        <f t="shared" si="178"/>
        <v>136754.23778768402</v>
      </c>
      <c r="BF228" s="45">
        <f t="shared" si="178"/>
        <v>167579.84368233572</v>
      </c>
      <c r="BG228" s="45">
        <f t="shared" si="178"/>
        <v>205461.48839313802</v>
      </c>
      <c r="BH228" s="368"/>
    </row>
    <row r="229" spans="1:60" s="120" customFormat="1" hidden="1" outlineLevel="1" x14ac:dyDescent="0.25">
      <c r="A229" s="222" t="s">
        <v>611</v>
      </c>
      <c r="B229" s="639"/>
      <c r="C229" s="100">
        <f t="shared" ref="C229:AH229" si="179">C224/C$228</f>
        <v>1</v>
      </c>
      <c r="D229" s="100">
        <f t="shared" si="179"/>
        <v>0.83154594668676762</v>
      </c>
      <c r="E229" s="100">
        <f t="shared" si="179"/>
        <v>0.72741159996474769</v>
      </c>
      <c r="F229" s="100">
        <f t="shared" si="179"/>
        <v>0.93331736260332576</v>
      </c>
      <c r="G229" s="1005">
        <f t="shared" si="179"/>
        <v>0.98827145989974929</v>
      </c>
      <c r="H229" s="1005">
        <f t="shared" si="179"/>
        <v>0.99110428766423375</v>
      </c>
      <c r="I229" s="1005">
        <f t="shared" si="179"/>
        <v>0.99733392682440547</v>
      </c>
      <c r="J229" s="1005">
        <f t="shared" si="179"/>
        <v>0.99290171467396171</v>
      </c>
      <c r="K229" s="100">
        <f t="shared" si="179"/>
        <v>0.99219765025607198</v>
      </c>
      <c r="L229" s="1005">
        <f t="shared" si="179"/>
        <v>0.94896235871222245</v>
      </c>
      <c r="M229" s="1005">
        <f t="shared" si="179"/>
        <v>0.9460322948362837</v>
      </c>
      <c r="N229" s="1005">
        <f t="shared" si="179"/>
        <v>0.93908340416339908</v>
      </c>
      <c r="O229" s="1005">
        <f t="shared" si="179"/>
        <v>0.93073303918524952</v>
      </c>
      <c r="P229" s="100">
        <f t="shared" si="179"/>
        <v>0.94017426452840147</v>
      </c>
      <c r="Q229" s="1005">
        <f t="shared" si="179"/>
        <v>0.95046176107588198</v>
      </c>
      <c r="R229" s="1005">
        <f t="shared" si="179"/>
        <v>0.91948907616526487</v>
      </c>
      <c r="S229" s="1005">
        <f t="shared" si="179"/>
        <v>0.91008220634529224</v>
      </c>
      <c r="T229" s="1005">
        <f t="shared" si="179"/>
        <v>0.91981752005138417</v>
      </c>
      <c r="U229" s="100">
        <f t="shared" si="179"/>
        <v>0.92460451925037535</v>
      </c>
      <c r="V229" s="1005">
        <f t="shared" si="179"/>
        <v>0.89452577398679045</v>
      </c>
      <c r="W229" s="1005">
        <f t="shared" si="179"/>
        <v>0.93057966940600012</v>
      </c>
      <c r="X229" s="1005">
        <f t="shared" si="179"/>
        <v>0.83423771642978106</v>
      </c>
      <c r="Y229" s="1005">
        <f t="shared" si="179"/>
        <v>0.7613697791897247</v>
      </c>
      <c r="Z229" s="100">
        <f t="shared" si="179"/>
        <v>0.79841451561199128</v>
      </c>
      <c r="AA229" s="1005">
        <f t="shared" si="179"/>
        <v>0.75476862480389573</v>
      </c>
      <c r="AB229" s="1005">
        <f t="shared" si="179"/>
        <v>0.72192538098343217</v>
      </c>
      <c r="AC229" s="1005">
        <f t="shared" si="179"/>
        <v>0.6957980349619306</v>
      </c>
      <c r="AD229" s="1005">
        <f t="shared" si="179"/>
        <v>0.73264190151050013</v>
      </c>
      <c r="AE229" s="100">
        <f t="shared" si="179"/>
        <v>0.72582130534101796</v>
      </c>
      <c r="AF229" s="1005">
        <f t="shared" si="179"/>
        <v>0.75156002887861273</v>
      </c>
      <c r="AG229" s="1005">
        <f t="shared" si="179"/>
        <v>0.7790317450442017</v>
      </c>
      <c r="AH229" s="1005">
        <f t="shared" si="179"/>
        <v>0.86136419352111304</v>
      </c>
      <c r="AI229" s="1005">
        <f t="shared" ref="AI229:BG229" si="180">AI224/AI$228</f>
        <v>0.84051726345038169</v>
      </c>
      <c r="AJ229" s="100">
        <f t="shared" si="180"/>
        <v>0.82155080491982113</v>
      </c>
      <c r="AK229" s="1005">
        <f t="shared" si="180"/>
        <v>0.77260130213517053</v>
      </c>
      <c r="AL229" s="1005">
        <f t="shared" si="180"/>
        <v>0.81390404801756822</v>
      </c>
      <c r="AM229" s="1005">
        <f t="shared" si="180"/>
        <v>0.8142154529589084</v>
      </c>
      <c r="AN229" s="1005">
        <f t="shared" si="180"/>
        <v>0.83198110473383835</v>
      </c>
      <c r="AO229" s="100">
        <f t="shared" si="180"/>
        <v>0.8117828952721946</v>
      </c>
      <c r="AP229" s="1005">
        <f t="shared" si="180"/>
        <v>0.81754385964912279</v>
      </c>
      <c r="AQ229" s="1005">
        <f t="shared" si="180"/>
        <v>0.81361829025844934</v>
      </c>
      <c r="AR229" s="1005">
        <f t="shared" si="180"/>
        <v>0.83753277847451835</v>
      </c>
      <c r="AS229" s="1005">
        <f t="shared" si="180"/>
        <v>0.84084139985107964</v>
      </c>
      <c r="AT229" s="100">
        <f t="shared" si="180"/>
        <v>0.83028919330289197</v>
      </c>
      <c r="AU229" s="1005">
        <f t="shared" si="180"/>
        <v>0.83790547694677064</v>
      </c>
      <c r="AV229" s="1005">
        <f t="shared" si="180"/>
        <v>0.82572336511122257</v>
      </c>
      <c r="AW229" s="727">
        <f t="shared" si="180"/>
        <v>0.8484407937777132</v>
      </c>
      <c r="AX229" s="1005">
        <f t="shared" si="180"/>
        <v>0.85395795078877812</v>
      </c>
      <c r="AY229" s="100">
        <f t="shared" si="180"/>
        <v>0.84300956488762602</v>
      </c>
      <c r="AZ229" s="1005">
        <f t="shared" si="180"/>
        <v>0.86579538644723264</v>
      </c>
      <c r="BA229" s="1005">
        <f t="shared" si="180"/>
        <v>0.85407708335997301</v>
      </c>
      <c r="BB229" s="1005">
        <f t="shared" si="180"/>
        <v>0.85350549164534983</v>
      </c>
      <c r="BC229" s="1005">
        <f t="shared" si="180"/>
        <v>0.84900831695208889</v>
      </c>
      <c r="BD229" s="100">
        <f t="shared" si="180"/>
        <v>0.85462449047879452</v>
      </c>
      <c r="BE229" s="100">
        <f t="shared" si="180"/>
        <v>0.83610627757726164</v>
      </c>
      <c r="BF229" s="100">
        <f t="shared" si="180"/>
        <v>0.82239763664119703</v>
      </c>
      <c r="BG229" s="100">
        <f t="shared" si="180"/>
        <v>0.8085507336244816</v>
      </c>
      <c r="BH229" s="366"/>
    </row>
    <row r="230" spans="1:60" s="120" customFormat="1" hidden="1" outlineLevel="1" x14ac:dyDescent="0.25">
      <c r="A230" s="222" t="s">
        <v>608</v>
      </c>
      <c r="B230" s="639"/>
      <c r="C230" s="100">
        <f t="shared" ref="C230:AH230" si="181">C225/C$228</f>
        <v>0</v>
      </c>
      <c r="D230" s="100">
        <f t="shared" si="181"/>
        <v>0</v>
      </c>
      <c r="E230" s="100">
        <f t="shared" si="181"/>
        <v>0</v>
      </c>
      <c r="F230" s="100">
        <f t="shared" si="181"/>
        <v>0</v>
      </c>
      <c r="G230" s="1005">
        <f t="shared" si="181"/>
        <v>0</v>
      </c>
      <c r="H230" s="1005">
        <f t="shared" si="181"/>
        <v>0</v>
      </c>
      <c r="I230" s="1005">
        <f t="shared" si="181"/>
        <v>0</v>
      </c>
      <c r="J230" s="1005">
        <f t="shared" si="181"/>
        <v>0</v>
      </c>
      <c r="K230" s="100">
        <f t="shared" si="181"/>
        <v>0</v>
      </c>
      <c r="L230" s="1005">
        <f t="shared" si="181"/>
        <v>0</v>
      </c>
      <c r="M230" s="1005">
        <f t="shared" si="181"/>
        <v>0</v>
      </c>
      <c r="N230" s="1005">
        <f t="shared" si="181"/>
        <v>0</v>
      </c>
      <c r="O230" s="1005">
        <f t="shared" si="181"/>
        <v>0</v>
      </c>
      <c r="P230" s="100">
        <f t="shared" si="181"/>
        <v>0</v>
      </c>
      <c r="Q230" s="1005">
        <f t="shared" si="181"/>
        <v>0</v>
      </c>
      <c r="R230" s="1005">
        <f t="shared" si="181"/>
        <v>0</v>
      </c>
      <c r="S230" s="1005">
        <f t="shared" si="181"/>
        <v>0</v>
      </c>
      <c r="T230" s="1005">
        <f t="shared" si="181"/>
        <v>0</v>
      </c>
      <c r="U230" s="100">
        <f t="shared" si="181"/>
        <v>0</v>
      </c>
      <c r="V230" s="1005">
        <f t="shared" si="181"/>
        <v>0</v>
      </c>
      <c r="W230" s="1005">
        <f t="shared" si="181"/>
        <v>0</v>
      </c>
      <c r="X230" s="1005">
        <f t="shared" si="181"/>
        <v>0.10062712209519865</v>
      </c>
      <c r="Y230" s="1005">
        <f t="shared" si="181"/>
        <v>0.11147270609564519</v>
      </c>
      <c r="Z230" s="100">
        <f t="shared" si="181"/>
        <v>0.10882066223894064</v>
      </c>
      <c r="AA230" s="1005">
        <f t="shared" si="181"/>
        <v>9.4404492131722709E-2</v>
      </c>
      <c r="AB230" s="1005">
        <f t="shared" si="181"/>
        <v>9.778040025710176E-2</v>
      </c>
      <c r="AC230" s="1005">
        <f t="shared" si="181"/>
        <v>9.5875765368088658E-2</v>
      </c>
      <c r="AD230" s="1005">
        <f t="shared" si="181"/>
        <v>8.9131327949921083E-2</v>
      </c>
      <c r="AE230" s="100">
        <f t="shared" si="181"/>
        <v>9.4104212258597872E-2</v>
      </c>
      <c r="AF230" s="1005">
        <f t="shared" si="181"/>
        <v>5.087963303861151E-2</v>
      </c>
      <c r="AG230" s="1005">
        <f t="shared" si="181"/>
        <v>5.9920579296897168E-2</v>
      </c>
      <c r="AH230" s="1005">
        <f t="shared" si="181"/>
        <v>3.2304756467699126E-2</v>
      </c>
      <c r="AI230" s="1005">
        <f t="shared" ref="AI230:BG230" si="182">AI225/AI$228</f>
        <v>3.4563020966463152E-2</v>
      </c>
      <c r="AJ230" s="100">
        <f t="shared" si="182"/>
        <v>4.1165368234533019E-2</v>
      </c>
      <c r="AK230" s="1005">
        <f t="shared" si="182"/>
        <v>4.7367985301656035E-2</v>
      </c>
      <c r="AL230" s="1005">
        <f t="shared" si="182"/>
        <v>3.2814587704947468E-2</v>
      </c>
      <c r="AM230" s="1005">
        <f t="shared" si="182"/>
        <v>3.5062668570521975E-2</v>
      </c>
      <c r="AN230" s="1005">
        <f t="shared" si="182"/>
        <v>3.0406589507385028E-2</v>
      </c>
      <c r="AO230" s="100">
        <f t="shared" si="182"/>
        <v>3.5356823175197331E-2</v>
      </c>
      <c r="AP230" s="1005">
        <f t="shared" si="182"/>
        <v>3.9933166248955723E-2</v>
      </c>
      <c r="AQ230" s="1005">
        <f t="shared" si="182"/>
        <v>4.4400265076209408E-2</v>
      </c>
      <c r="AR230" s="1005">
        <f t="shared" si="182"/>
        <v>3.0213202599475544E-2</v>
      </c>
      <c r="AS230" s="1005">
        <f t="shared" si="182"/>
        <v>2.6061057334326135E-2</v>
      </c>
      <c r="AT230" s="100">
        <f t="shared" si="182"/>
        <v>3.3358701166920343E-2</v>
      </c>
      <c r="AU230" s="1005">
        <f t="shared" si="182"/>
        <v>2.8587929540860525E-2</v>
      </c>
      <c r="AV230" s="1005">
        <f t="shared" si="182"/>
        <v>2.7763840107041311E-2</v>
      </c>
      <c r="AW230" s="727">
        <f t="shared" si="182"/>
        <v>2.7985752707712436E-2</v>
      </c>
      <c r="AX230" s="1005">
        <f t="shared" si="182"/>
        <v>2.6588425801506249E-2</v>
      </c>
      <c r="AY230" s="100">
        <f t="shared" si="182"/>
        <v>2.7608206246906367E-2</v>
      </c>
      <c r="AZ230" s="1005">
        <f t="shared" si="182"/>
        <v>2.4076693598173916E-2</v>
      </c>
      <c r="BA230" s="1005">
        <f t="shared" si="182"/>
        <v>2.345519611005124E-2</v>
      </c>
      <c r="BB230" s="1005">
        <f t="shared" si="182"/>
        <v>2.3399910982706294E-2</v>
      </c>
      <c r="BC230" s="1005">
        <f t="shared" si="182"/>
        <v>2.4336151926473128E-2</v>
      </c>
      <c r="BD230" s="100">
        <f t="shared" si="182"/>
        <v>2.3830902853907633E-2</v>
      </c>
      <c r="BE230" s="100">
        <f t="shared" si="182"/>
        <v>3.1781140714582462E-2</v>
      </c>
      <c r="BF230" s="100">
        <f t="shared" si="182"/>
        <v>3.5992276215308136E-2</v>
      </c>
      <c r="BG230" s="100">
        <f t="shared" si="182"/>
        <v>3.7919818124204793E-2</v>
      </c>
      <c r="BH230" s="366"/>
    </row>
    <row r="231" spans="1:60" s="120" customFormat="1" hidden="1" outlineLevel="1" x14ac:dyDescent="0.25">
      <c r="A231" s="222" t="s">
        <v>609</v>
      </c>
      <c r="B231" s="639"/>
      <c r="C231" s="100">
        <f t="shared" ref="C231:AH231" si="183">C226/C$228</f>
        <v>0</v>
      </c>
      <c r="D231" s="100">
        <f t="shared" si="183"/>
        <v>0.16845405331323238</v>
      </c>
      <c r="E231" s="100">
        <f t="shared" si="183"/>
        <v>0.27258840003525225</v>
      </c>
      <c r="F231" s="100">
        <f t="shared" si="183"/>
        <v>6.668263739667421E-2</v>
      </c>
      <c r="G231" s="1005">
        <f t="shared" si="183"/>
        <v>1.1728540100250626E-2</v>
      </c>
      <c r="H231" s="1005">
        <f t="shared" si="183"/>
        <v>8.895712335766243E-3</v>
      </c>
      <c r="I231" s="1005">
        <f t="shared" si="183"/>
        <v>2.6660731755945343E-3</v>
      </c>
      <c r="J231" s="1005">
        <f t="shared" si="183"/>
        <v>7.0982853260383684E-3</v>
      </c>
      <c r="K231" s="100">
        <f t="shared" si="183"/>
        <v>7.802349743927974E-3</v>
      </c>
      <c r="L231" s="1005">
        <f t="shared" si="183"/>
        <v>5.1037641287777456E-2</v>
      </c>
      <c r="M231" s="1005">
        <f t="shared" si="183"/>
        <v>5.3967705163716344E-2</v>
      </c>
      <c r="N231" s="1005">
        <f t="shared" si="183"/>
        <v>6.0916595836600911E-2</v>
      </c>
      <c r="O231" s="1005">
        <f t="shared" si="183"/>
        <v>6.9266960814750478E-2</v>
      </c>
      <c r="P231" s="100">
        <f t="shared" si="183"/>
        <v>5.9825735471598529E-2</v>
      </c>
      <c r="Q231" s="1005">
        <f t="shared" si="183"/>
        <v>4.9538238924117968E-2</v>
      </c>
      <c r="R231" s="1005">
        <f t="shared" si="183"/>
        <v>8.0510923834735112E-2</v>
      </c>
      <c r="S231" s="1005">
        <f t="shared" si="183"/>
        <v>8.9917793654707728E-2</v>
      </c>
      <c r="T231" s="1005">
        <f t="shared" si="183"/>
        <v>8.0182479948615742E-2</v>
      </c>
      <c r="U231" s="100">
        <f t="shared" si="183"/>
        <v>7.5395480749624641E-2</v>
      </c>
      <c r="V231" s="1005">
        <f t="shared" si="183"/>
        <v>0.10547422601320955</v>
      </c>
      <c r="W231" s="1005">
        <f t="shared" si="183"/>
        <v>6.9420330593999921E-2</v>
      </c>
      <c r="X231" s="1005">
        <f t="shared" si="183"/>
        <v>6.5135161475020409E-2</v>
      </c>
      <c r="Y231" s="1005">
        <f t="shared" si="183"/>
        <v>6.9649321925510058E-2</v>
      </c>
      <c r="Z231" s="100">
        <f t="shared" si="183"/>
        <v>6.6851882221649533E-2</v>
      </c>
      <c r="AA231" s="1005">
        <f t="shared" si="183"/>
        <v>7.1478746564698645E-2</v>
      </c>
      <c r="AB231" s="1005">
        <f t="shared" si="183"/>
        <v>7.7489364798783475E-2</v>
      </c>
      <c r="AC231" s="1005">
        <f t="shared" si="183"/>
        <v>0.10194778325948387</v>
      </c>
      <c r="AD231" s="1005">
        <f t="shared" si="183"/>
        <v>8.7589778024717735E-2</v>
      </c>
      <c r="AE231" s="100">
        <f t="shared" si="183"/>
        <v>8.514382182257281E-2</v>
      </c>
      <c r="AF231" s="1005">
        <f t="shared" si="183"/>
        <v>7.7275224855086214E-2</v>
      </c>
      <c r="AG231" s="1005">
        <f t="shared" si="183"/>
        <v>6.7497853072448849E-2</v>
      </c>
      <c r="AH231" s="1005">
        <f t="shared" si="183"/>
        <v>4.781803211499655E-2</v>
      </c>
      <c r="AI231" s="1005">
        <f t="shared" ref="AI231:BG231" si="184">AI226/AI$228</f>
        <v>7.350765782902631E-2</v>
      </c>
      <c r="AJ231" s="100">
        <f t="shared" si="184"/>
        <v>6.4816347291315676E-2</v>
      </c>
      <c r="AK231" s="1005">
        <f t="shared" si="184"/>
        <v>0.10854253165939441</v>
      </c>
      <c r="AL231" s="1005">
        <f t="shared" si="184"/>
        <v>9.5292893684654142E-2</v>
      </c>
      <c r="AM231" s="1005">
        <f t="shared" si="184"/>
        <v>8.694272568618118E-2</v>
      </c>
      <c r="AN231" s="1005">
        <f t="shared" si="184"/>
        <v>7.8546857605642575E-2</v>
      </c>
      <c r="AO231" s="100">
        <f t="shared" si="184"/>
        <v>9.0568801367076249E-2</v>
      </c>
      <c r="AP231" s="1005">
        <f t="shared" si="184"/>
        <v>9.3567251461988299E-2</v>
      </c>
      <c r="AQ231" s="1005">
        <f t="shared" si="184"/>
        <v>8.0682571239231282E-2</v>
      </c>
      <c r="AR231" s="1005">
        <f t="shared" si="184"/>
        <v>6.6241021548284124E-2</v>
      </c>
      <c r="AS231" s="1005">
        <f t="shared" si="184"/>
        <v>6.3104988830975428E-2</v>
      </c>
      <c r="AT231" s="100">
        <f t="shared" si="184"/>
        <v>7.3122780314561139E-2</v>
      </c>
      <c r="AU231" s="1005">
        <f t="shared" si="184"/>
        <v>8.5956299932621036E-2</v>
      </c>
      <c r="AV231" s="1005">
        <f t="shared" si="184"/>
        <v>7.9528349222277972E-2</v>
      </c>
      <c r="AW231" s="727">
        <f t="shared" si="184"/>
        <v>6.4985098495311477E-2</v>
      </c>
      <c r="AX231" s="1005">
        <f t="shared" si="184"/>
        <v>6.1638246361319919E-2</v>
      </c>
      <c r="AY231" s="100">
        <f t="shared" si="184"/>
        <v>7.1309628377832252E-2</v>
      </c>
      <c r="AZ231" s="1005">
        <f t="shared" si="184"/>
        <v>7.1189766403632518E-2</v>
      </c>
      <c r="BA231" s="1005">
        <f t="shared" si="184"/>
        <v>7.0202582357601948E-2</v>
      </c>
      <c r="BB231" s="1005">
        <f t="shared" si="184"/>
        <v>7.8921486236525062E-2</v>
      </c>
      <c r="BC231" s="1005">
        <f t="shared" si="184"/>
        <v>7.8601002199070583E-2</v>
      </c>
      <c r="BD231" s="100">
        <f t="shared" si="184"/>
        <v>7.5348116115459329E-2</v>
      </c>
      <c r="BE231" s="100">
        <f t="shared" si="184"/>
        <v>7.8109867646265971E-2</v>
      </c>
      <c r="BF231" s="100">
        <f t="shared" si="184"/>
        <v>7.7255092157085453E-2</v>
      </c>
      <c r="BG231" s="100">
        <f t="shared" si="184"/>
        <v>7.6182349657381784E-2</v>
      </c>
      <c r="BH231" s="366"/>
    </row>
    <row r="232" spans="1:60" s="120" customFormat="1" hidden="1" outlineLevel="1" x14ac:dyDescent="0.25">
      <c r="A232" s="222" t="s">
        <v>610</v>
      </c>
      <c r="B232" s="639"/>
      <c r="C232" s="100">
        <f t="shared" ref="C232:AH232" si="185">C227/C$228</f>
        <v>0</v>
      </c>
      <c r="D232" s="100">
        <f t="shared" si="185"/>
        <v>0</v>
      </c>
      <c r="E232" s="100">
        <f t="shared" si="185"/>
        <v>0</v>
      </c>
      <c r="F232" s="100">
        <f t="shared" si="185"/>
        <v>0</v>
      </c>
      <c r="G232" s="1005">
        <f t="shared" si="185"/>
        <v>0</v>
      </c>
      <c r="H232" s="1005">
        <f t="shared" si="185"/>
        <v>0</v>
      </c>
      <c r="I232" s="1005">
        <f t="shared" si="185"/>
        <v>0</v>
      </c>
      <c r="J232" s="1005">
        <f t="shared" si="185"/>
        <v>0</v>
      </c>
      <c r="K232" s="100">
        <f t="shared" si="185"/>
        <v>0</v>
      </c>
      <c r="L232" s="1005">
        <f t="shared" si="185"/>
        <v>0</v>
      </c>
      <c r="M232" s="1005">
        <f t="shared" si="185"/>
        <v>0</v>
      </c>
      <c r="N232" s="1005">
        <f t="shared" si="185"/>
        <v>0</v>
      </c>
      <c r="O232" s="1005">
        <f t="shared" si="185"/>
        <v>0</v>
      </c>
      <c r="P232" s="100">
        <f t="shared" si="185"/>
        <v>0</v>
      </c>
      <c r="Q232" s="1005">
        <f t="shared" si="185"/>
        <v>0</v>
      </c>
      <c r="R232" s="1005">
        <f t="shared" si="185"/>
        <v>0</v>
      </c>
      <c r="S232" s="1005">
        <f t="shared" si="185"/>
        <v>0</v>
      </c>
      <c r="T232" s="1005">
        <f t="shared" si="185"/>
        <v>0</v>
      </c>
      <c r="U232" s="100">
        <f t="shared" si="185"/>
        <v>0</v>
      </c>
      <c r="V232" s="1005">
        <f t="shared" si="185"/>
        <v>0</v>
      </c>
      <c r="W232" s="1005">
        <f t="shared" si="185"/>
        <v>0</v>
      </c>
      <c r="X232" s="1005">
        <f t="shared" si="185"/>
        <v>0</v>
      </c>
      <c r="Y232" s="1005">
        <f t="shared" si="185"/>
        <v>5.7508192789119984E-2</v>
      </c>
      <c r="Z232" s="100">
        <f t="shared" si="185"/>
        <v>2.5912939927418513E-2</v>
      </c>
      <c r="AA232" s="1005">
        <f t="shared" si="185"/>
        <v>7.9348136499682892E-2</v>
      </c>
      <c r="AB232" s="1005">
        <f t="shared" si="185"/>
        <v>0.10280485396068265</v>
      </c>
      <c r="AC232" s="1005">
        <f t="shared" si="185"/>
        <v>0.10637841641049695</v>
      </c>
      <c r="AD232" s="1005">
        <f t="shared" si="185"/>
        <v>9.0636992514861264E-2</v>
      </c>
      <c r="AE232" s="100">
        <f t="shared" si="185"/>
        <v>9.4930660577811368E-2</v>
      </c>
      <c r="AF232" s="1005">
        <f t="shared" si="185"/>
        <v>0.12028511322768956</v>
      </c>
      <c r="AG232" s="1005">
        <f t="shared" si="185"/>
        <v>9.3549822586452433E-2</v>
      </c>
      <c r="AH232" s="1005">
        <f t="shared" si="185"/>
        <v>5.8513017896191212E-2</v>
      </c>
      <c r="AI232" s="1005">
        <f t="shared" ref="AI232:BG232" si="186">AI227/AI$228</f>
        <v>5.1412057754128777E-2</v>
      </c>
      <c r="AJ232" s="100">
        <f t="shared" si="186"/>
        <v>7.2467479554330153E-2</v>
      </c>
      <c r="AK232" s="1005">
        <f t="shared" si="186"/>
        <v>7.148818090377905E-2</v>
      </c>
      <c r="AL232" s="1005">
        <f t="shared" si="186"/>
        <v>5.7988470592830257E-2</v>
      </c>
      <c r="AM232" s="1005">
        <f t="shared" si="186"/>
        <v>6.3779152784388393E-2</v>
      </c>
      <c r="AN232" s="1005">
        <f t="shared" si="186"/>
        <v>5.906544815313397E-2</v>
      </c>
      <c r="AO232" s="100">
        <f t="shared" si="186"/>
        <v>6.2291480185531774E-2</v>
      </c>
      <c r="AP232" s="1005">
        <f t="shared" si="186"/>
        <v>4.8955722639933169E-2</v>
      </c>
      <c r="AQ232" s="1005">
        <f t="shared" si="186"/>
        <v>6.1298873426110005E-2</v>
      </c>
      <c r="AR232" s="1005">
        <f t="shared" si="186"/>
        <v>6.6012997377722038E-2</v>
      </c>
      <c r="AS232" s="1005">
        <f t="shared" si="186"/>
        <v>6.9992553983618769E-2</v>
      </c>
      <c r="AT232" s="100">
        <f t="shared" si="186"/>
        <v>6.3229325215626589E-2</v>
      </c>
      <c r="AU232" s="1005">
        <f t="shared" si="186"/>
        <v>4.7550293579747813E-2</v>
      </c>
      <c r="AV232" s="1005">
        <f t="shared" si="186"/>
        <v>6.6984445559458108E-2</v>
      </c>
      <c r="AW232" s="727">
        <f t="shared" si="186"/>
        <v>5.8588355019262919E-2</v>
      </c>
      <c r="AX232" s="1005">
        <f t="shared" si="186"/>
        <v>5.7815377048395761E-2</v>
      </c>
      <c r="AY232" s="100">
        <f t="shared" si="186"/>
        <v>5.8072600487635344E-2</v>
      </c>
      <c r="AZ232" s="1005">
        <f t="shared" si="186"/>
        <v>3.8938153550961085E-2</v>
      </c>
      <c r="BA232" s="1005">
        <f t="shared" si="186"/>
        <v>5.2265138172373847E-2</v>
      </c>
      <c r="BB232" s="1005">
        <f t="shared" si="186"/>
        <v>4.4173111135418767E-2</v>
      </c>
      <c r="BC232" s="1005">
        <f t="shared" si="186"/>
        <v>4.8054528922367244E-2</v>
      </c>
      <c r="BD232" s="100">
        <f t="shared" si="186"/>
        <v>4.6196490551838394E-2</v>
      </c>
      <c r="BE232" s="100">
        <f t="shared" si="186"/>
        <v>5.4002714061889924E-2</v>
      </c>
      <c r="BF232" s="100">
        <f t="shared" si="186"/>
        <v>6.4354994986409508E-2</v>
      </c>
      <c r="BG232" s="100">
        <f t="shared" si="186"/>
        <v>7.7347098593931726E-2</v>
      </c>
      <c r="BH232" s="366"/>
    </row>
    <row r="233" spans="1:60" s="114" customFormat="1" hidden="1" outlineLevel="1" x14ac:dyDescent="0.25">
      <c r="A233" s="818" t="s">
        <v>612</v>
      </c>
      <c r="B233" s="640"/>
      <c r="C233" s="569">
        <f t="shared" ref="C233:AH233" si="187">SUM(C229:C232)</f>
        <v>1</v>
      </c>
      <c r="D233" s="569">
        <f t="shared" si="187"/>
        <v>1</v>
      </c>
      <c r="E233" s="569">
        <f t="shared" si="187"/>
        <v>1</v>
      </c>
      <c r="F233" s="569">
        <f t="shared" si="187"/>
        <v>1</v>
      </c>
      <c r="G233" s="568">
        <f t="shared" si="187"/>
        <v>0.99999999999999989</v>
      </c>
      <c r="H233" s="568">
        <f t="shared" si="187"/>
        <v>1</v>
      </c>
      <c r="I233" s="568">
        <f t="shared" si="187"/>
        <v>1</v>
      </c>
      <c r="J233" s="568">
        <f t="shared" si="187"/>
        <v>1</v>
      </c>
      <c r="K233" s="569">
        <f t="shared" si="187"/>
        <v>1</v>
      </c>
      <c r="L233" s="568">
        <f t="shared" si="187"/>
        <v>0.99999999999999989</v>
      </c>
      <c r="M233" s="568">
        <f t="shared" si="187"/>
        <v>1</v>
      </c>
      <c r="N233" s="568">
        <f t="shared" si="187"/>
        <v>1</v>
      </c>
      <c r="O233" s="568">
        <f t="shared" si="187"/>
        <v>1</v>
      </c>
      <c r="P233" s="569">
        <f t="shared" si="187"/>
        <v>1</v>
      </c>
      <c r="Q233" s="568">
        <f t="shared" si="187"/>
        <v>1</v>
      </c>
      <c r="R233" s="568">
        <f t="shared" si="187"/>
        <v>1</v>
      </c>
      <c r="S233" s="568">
        <f t="shared" si="187"/>
        <v>1</v>
      </c>
      <c r="T233" s="568">
        <f t="shared" si="187"/>
        <v>0.99999999999999989</v>
      </c>
      <c r="U233" s="569">
        <f t="shared" si="187"/>
        <v>1</v>
      </c>
      <c r="V233" s="568">
        <f t="shared" si="187"/>
        <v>1</v>
      </c>
      <c r="W233" s="568">
        <f t="shared" si="187"/>
        <v>1</v>
      </c>
      <c r="X233" s="568">
        <f t="shared" si="187"/>
        <v>1</v>
      </c>
      <c r="Y233" s="568">
        <f t="shared" si="187"/>
        <v>1</v>
      </c>
      <c r="Z233" s="569">
        <f t="shared" si="187"/>
        <v>0.99999999999999989</v>
      </c>
      <c r="AA233" s="568">
        <f t="shared" si="187"/>
        <v>1</v>
      </c>
      <c r="AB233" s="568">
        <f t="shared" si="187"/>
        <v>1</v>
      </c>
      <c r="AC233" s="568">
        <f t="shared" si="187"/>
        <v>1</v>
      </c>
      <c r="AD233" s="568">
        <f t="shared" si="187"/>
        <v>1.0000000000000002</v>
      </c>
      <c r="AE233" s="569">
        <f t="shared" si="187"/>
        <v>1</v>
      </c>
      <c r="AF233" s="568">
        <f t="shared" si="187"/>
        <v>1</v>
      </c>
      <c r="AG233" s="568">
        <f t="shared" si="187"/>
        <v>1.0000000000000002</v>
      </c>
      <c r="AH233" s="568">
        <f t="shared" si="187"/>
        <v>1</v>
      </c>
      <c r="AI233" s="568">
        <f t="shared" ref="AI233:BG233" si="188">SUM(AI229:AI232)</f>
        <v>1</v>
      </c>
      <c r="AJ233" s="569">
        <f t="shared" si="188"/>
        <v>1</v>
      </c>
      <c r="AK233" s="568">
        <f t="shared" si="188"/>
        <v>1</v>
      </c>
      <c r="AL233" s="568">
        <f t="shared" si="188"/>
        <v>1</v>
      </c>
      <c r="AM233" s="568">
        <f t="shared" si="188"/>
        <v>1</v>
      </c>
      <c r="AN233" s="568">
        <f t="shared" si="188"/>
        <v>1</v>
      </c>
      <c r="AO233" s="569">
        <f t="shared" si="188"/>
        <v>0.99999999999999989</v>
      </c>
      <c r="AP233" s="568">
        <f t="shared" si="188"/>
        <v>1</v>
      </c>
      <c r="AQ233" s="568">
        <f t="shared" si="188"/>
        <v>1</v>
      </c>
      <c r="AR233" s="568">
        <f t="shared" si="188"/>
        <v>1</v>
      </c>
      <c r="AS233" s="568">
        <f t="shared" si="188"/>
        <v>1</v>
      </c>
      <c r="AT233" s="569">
        <f t="shared" si="188"/>
        <v>1</v>
      </c>
      <c r="AU233" s="568">
        <f t="shared" si="188"/>
        <v>1</v>
      </c>
      <c r="AV233" s="568">
        <f t="shared" si="188"/>
        <v>1</v>
      </c>
      <c r="AW233" s="819">
        <f t="shared" si="188"/>
        <v>1</v>
      </c>
      <c r="AX233" s="568">
        <f t="shared" si="188"/>
        <v>1</v>
      </c>
      <c r="AY233" s="569">
        <f t="shared" si="188"/>
        <v>1</v>
      </c>
      <c r="AZ233" s="568">
        <f t="shared" si="188"/>
        <v>1</v>
      </c>
      <c r="BA233" s="568">
        <f t="shared" si="188"/>
        <v>1</v>
      </c>
      <c r="BB233" s="568">
        <f t="shared" si="188"/>
        <v>1</v>
      </c>
      <c r="BC233" s="568">
        <f t="shared" si="188"/>
        <v>0.99999999999999989</v>
      </c>
      <c r="BD233" s="569">
        <f t="shared" si="188"/>
        <v>0.99999999999999989</v>
      </c>
      <c r="BE233" s="569">
        <f t="shared" si="188"/>
        <v>1</v>
      </c>
      <c r="BF233" s="569">
        <f t="shared" si="188"/>
        <v>1</v>
      </c>
      <c r="BG233" s="569">
        <f t="shared" si="188"/>
        <v>0.99999999999999989</v>
      </c>
      <c r="BH233" s="365"/>
    </row>
    <row r="234" spans="1:60" s="116" customFormat="1" hidden="1" outlineLevel="1" x14ac:dyDescent="0.25">
      <c r="A234" s="530"/>
      <c r="B234" s="637"/>
      <c r="C234" s="438"/>
      <c r="D234" s="438"/>
      <c r="E234" s="438"/>
      <c r="F234" s="438"/>
      <c r="G234" s="437"/>
      <c r="H234" s="437"/>
      <c r="I234" s="437"/>
      <c r="J234" s="437"/>
      <c r="K234" s="438"/>
      <c r="L234" s="437"/>
      <c r="M234" s="437"/>
      <c r="N234" s="437"/>
      <c r="O234" s="437"/>
      <c r="P234" s="438"/>
      <c r="Q234" s="437"/>
      <c r="R234" s="437"/>
      <c r="S234" s="437"/>
      <c r="T234" s="437"/>
      <c r="U234" s="438"/>
      <c r="V234" s="437"/>
      <c r="W234" s="437"/>
      <c r="X234" s="437"/>
      <c r="Y234" s="437"/>
      <c r="Z234" s="438"/>
      <c r="AA234" s="437"/>
      <c r="AB234" s="437"/>
      <c r="AC234" s="437"/>
      <c r="AD234" s="437"/>
      <c r="AE234" s="438"/>
      <c r="AF234" s="437"/>
      <c r="AG234" s="437"/>
      <c r="AH234" s="437"/>
      <c r="AI234" s="437"/>
      <c r="AJ234" s="438"/>
      <c r="AK234" s="437"/>
      <c r="AL234" s="437"/>
      <c r="AM234" s="437"/>
      <c r="AN234" s="437"/>
      <c r="AO234" s="438"/>
      <c r="AP234" s="437"/>
      <c r="AQ234" s="437"/>
      <c r="AR234" s="437"/>
      <c r="AS234" s="437"/>
      <c r="AT234" s="438"/>
      <c r="AU234" s="437"/>
      <c r="AV234" s="437"/>
      <c r="AW234" s="725"/>
      <c r="AX234" s="437"/>
      <c r="AY234" s="438"/>
      <c r="AZ234" s="437"/>
      <c r="BA234" s="437"/>
      <c r="BB234" s="437"/>
      <c r="BC234" s="437"/>
      <c r="BD234" s="438"/>
      <c r="BE234" s="438"/>
      <c r="BF234" s="438"/>
      <c r="BG234" s="438"/>
      <c r="BH234" s="368"/>
    </row>
    <row r="235" spans="1:60" s="356" customFormat="1" hidden="1" outlineLevel="1" x14ac:dyDescent="0.25">
      <c r="A235" s="292" t="s">
        <v>18</v>
      </c>
      <c r="B235" s="450"/>
      <c r="C235" s="35">
        <v>102.408</v>
      </c>
      <c r="D235" s="35">
        <v>79.981999999999999</v>
      </c>
      <c r="E235" s="35">
        <v>115.482</v>
      </c>
      <c r="F235" s="35">
        <v>371.65800000000002</v>
      </c>
      <c r="G235" s="361">
        <v>461.81799999999998</v>
      </c>
      <c r="H235" s="361">
        <v>303.59899999999999</v>
      </c>
      <c r="I235" s="361">
        <v>324.88299999999998</v>
      </c>
      <c r="J235" s="361">
        <f>K235-I235-H235-G235</f>
        <v>453.57799999999997</v>
      </c>
      <c r="K235" s="35">
        <v>1543.8779999999999</v>
      </c>
      <c r="L235" s="361">
        <v>436.25400000000002</v>
      </c>
      <c r="M235" s="361">
        <v>519.81100000000004</v>
      </c>
      <c r="N235" s="361">
        <v>552.98699999999997</v>
      </c>
      <c r="O235" s="361">
        <v>636.697</v>
      </c>
      <c r="P235" s="35">
        <v>2145.7489999999998</v>
      </c>
      <c r="Q235" s="361">
        <v>631.745</v>
      </c>
      <c r="R235" s="361">
        <v>666.38599999999997</v>
      </c>
      <c r="S235" s="361">
        <v>628.72900000000004</v>
      </c>
      <c r="T235" s="361">
        <v>896.44200000000001</v>
      </c>
      <c r="U235" s="35">
        <v>2823.3020000000001</v>
      </c>
      <c r="V235" s="361">
        <v>779.31600000000003</v>
      </c>
      <c r="W235" s="36">
        <v>909.28200000000004</v>
      </c>
      <c r="X235" s="36">
        <v>1355.1020000000001</v>
      </c>
      <c r="Y235" s="361">
        <f>Y338</f>
        <v>1372.604</v>
      </c>
      <c r="Z235" s="35">
        <f>Z338</f>
        <v>4268.0870000000004</v>
      </c>
      <c r="AA235" s="361">
        <v>1496.6489999999999</v>
      </c>
      <c r="AB235" s="36">
        <v>1472.578</v>
      </c>
      <c r="AC235" s="36">
        <v>1755.6220000000001</v>
      </c>
      <c r="AD235" s="361">
        <f>AD338</f>
        <v>1999.6310000000001</v>
      </c>
      <c r="AE235" s="35">
        <f>AE338</f>
        <v>6724.48</v>
      </c>
      <c r="AF235" s="361">
        <v>2091.3969999999999</v>
      </c>
      <c r="AG235" s="36">
        <v>2529.739</v>
      </c>
      <c r="AH235" s="36">
        <v>4405.9189999999999</v>
      </c>
      <c r="AI235" s="361">
        <f t="shared" ref="AI235:AK236" si="189">AI338</f>
        <v>4658.5169999999998</v>
      </c>
      <c r="AJ235" s="35">
        <f t="shared" si="189"/>
        <v>13685.572</v>
      </c>
      <c r="AK235" s="361">
        <f t="shared" si="189"/>
        <v>2856.2089999999998</v>
      </c>
      <c r="AL235" s="36">
        <v>4253.7629999999999</v>
      </c>
      <c r="AM235" s="36">
        <v>4014</v>
      </c>
      <c r="AN235" s="361">
        <f t="shared" ref="AN235:AW235" si="190">AN338</f>
        <v>4815.0280000000002</v>
      </c>
      <c r="AO235" s="35">
        <f t="shared" si="190"/>
        <v>15939</v>
      </c>
      <c r="AP235" s="361">
        <f t="shared" si="190"/>
        <v>3699</v>
      </c>
      <c r="AQ235" s="36">
        <f t="shared" si="190"/>
        <v>3714</v>
      </c>
      <c r="AR235" s="36">
        <f t="shared" si="190"/>
        <v>5361</v>
      </c>
      <c r="AS235" s="361">
        <f t="shared" si="190"/>
        <v>6922</v>
      </c>
      <c r="AT235" s="35">
        <f t="shared" si="190"/>
        <v>19696</v>
      </c>
      <c r="AU235" s="361">
        <f t="shared" si="190"/>
        <v>6457</v>
      </c>
      <c r="AV235" s="36">
        <f t="shared" si="190"/>
        <v>7119</v>
      </c>
      <c r="AW235" s="792">
        <f t="shared" si="190"/>
        <v>8150</v>
      </c>
      <c r="AX235" s="439">
        <f>AX224-AX241</f>
        <v>9957.682764513982</v>
      </c>
      <c r="AY235" s="440">
        <f>+SUM(AU235,AV235,AW235,AX235)</f>
        <v>31683.682764513982</v>
      </c>
      <c r="AZ235" s="439">
        <f t="shared" ref="AZ235:BC238" si="191">AZ224-AZ241</f>
        <v>12786.613215075333</v>
      </c>
      <c r="BA235" s="439">
        <f t="shared" si="191"/>
        <v>14865.841102178661</v>
      </c>
      <c r="BB235" s="439">
        <f t="shared" si="191"/>
        <v>17522.294395522942</v>
      </c>
      <c r="BC235" s="439">
        <f t="shared" si="191"/>
        <v>19947.424444139418</v>
      </c>
      <c r="BD235" s="440">
        <f>+SUM(AZ235,BA235,BB235,BC235)</f>
        <v>65122.173156916353</v>
      </c>
      <c r="BE235" s="440">
        <f t="shared" ref="BE235:BG238" si="192">BE224-BE241</f>
        <v>78435.844590799985</v>
      </c>
      <c r="BF235" s="440">
        <f t="shared" si="192"/>
        <v>94402.255987054334</v>
      </c>
      <c r="BG235" s="440">
        <f t="shared" si="192"/>
        <v>113627.10890257597</v>
      </c>
      <c r="BH235" s="361"/>
    </row>
    <row r="236" spans="1:60" s="356" customFormat="1" hidden="1" outlineLevel="1" x14ac:dyDescent="0.25">
      <c r="A236" s="292" t="s">
        <v>19</v>
      </c>
      <c r="B236" s="450"/>
      <c r="C236" s="440"/>
      <c r="D236" s="440"/>
      <c r="E236" s="440"/>
      <c r="F236" s="440"/>
      <c r="G236" s="439"/>
      <c r="H236" s="439"/>
      <c r="I236" s="439"/>
      <c r="J236" s="439"/>
      <c r="K236" s="440"/>
      <c r="L236" s="439"/>
      <c r="M236" s="439"/>
      <c r="N236" s="439"/>
      <c r="O236" s="439"/>
      <c r="P236" s="440"/>
      <c r="Q236" s="439"/>
      <c r="R236" s="439"/>
      <c r="S236" s="439"/>
      <c r="T236" s="439"/>
      <c r="U236" s="440"/>
      <c r="V236" s="439"/>
      <c r="W236" s="439"/>
      <c r="X236" s="36">
        <v>161.959</v>
      </c>
      <c r="Y236" s="361">
        <f>Y339</f>
        <v>171.81800000000001</v>
      </c>
      <c r="Z236" s="35">
        <f>Z339</f>
        <v>481.99400000000003</v>
      </c>
      <c r="AA236" s="361">
        <v>166.02600000000001</v>
      </c>
      <c r="AB236" s="36">
        <v>175.43299999999999</v>
      </c>
      <c r="AC236" s="36">
        <v>175.22399999999999</v>
      </c>
      <c r="AD236" s="361">
        <f>AD339</f>
        <v>191.541</v>
      </c>
      <c r="AE236" s="35">
        <f>AE339</f>
        <v>708.22400000000005</v>
      </c>
      <c r="AF236" s="361">
        <v>104.496</v>
      </c>
      <c r="AG236" s="36">
        <v>136.91499999999999</v>
      </c>
      <c r="AH236" s="36">
        <v>119.283</v>
      </c>
      <c r="AI236" s="361">
        <f t="shared" si="189"/>
        <v>127.73099999999999</v>
      </c>
      <c r="AJ236" s="35">
        <f t="shared" si="189"/>
        <v>488.42500000000001</v>
      </c>
      <c r="AK236" s="361">
        <f t="shared" si="189"/>
        <v>117.092</v>
      </c>
      <c r="AL236" s="36">
        <v>106.322</v>
      </c>
      <c r="AM236" s="36">
        <v>117</v>
      </c>
      <c r="AN236" s="361">
        <f t="shared" ref="AN236:AW236" si="193">AN339</f>
        <v>118.58600000000001</v>
      </c>
      <c r="AO236" s="35">
        <f t="shared" si="193"/>
        <v>459</v>
      </c>
      <c r="AP236" s="361">
        <f t="shared" si="193"/>
        <v>122</v>
      </c>
      <c r="AQ236" s="36">
        <f t="shared" si="193"/>
        <v>148</v>
      </c>
      <c r="AR236" s="36">
        <f t="shared" si="193"/>
        <v>145</v>
      </c>
      <c r="AS236" s="361">
        <f t="shared" si="193"/>
        <v>148</v>
      </c>
      <c r="AT236" s="35">
        <f t="shared" si="193"/>
        <v>563</v>
      </c>
      <c r="AU236" s="361">
        <f t="shared" si="193"/>
        <v>160</v>
      </c>
      <c r="AV236" s="36">
        <f t="shared" si="193"/>
        <v>188</v>
      </c>
      <c r="AW236" s="792">
        <f t="shared" si="193"/>
        <v>234</v>
      </c>
      <c r="AX236" s="439">
        <f>AX225-AX242</f>
        <v>244.23705832737338</v>
      </c>
      <c r="AY236" s="440">
        <f>+SUM(AU236,AV236,AW236,AX236)</f>
        <v>826.23705832737335</v>
      </c>
      <c r="AZ236" s="439">
        <f t="shared" si="191"/>
        <v>280.19717657051126</v>
      </c>
      <c r="BA236" s="439">
        <f t="shared" si="191"/>
        <v>334.45256969301965</v>
      </c>
      <c r="BB236" s="439">
        <f t="shared" si="191"/>
        <v>397.59235146080778</v>
      </c>
      <c r="BC236" s="439">
        <f t="shared" si="191"/>
        <v>451.91006295890037</v>
      </c>
      <c r="BD236" s="440">
        <f>+SUM(AZ236,BA236,BB236,BC236)</f>
        <v>1464.1521606832391</v>
      </c>
      <c r="BE236" s="440">
        <f t="shared" si="192"/>
        <v>2403.0489298923076</v>
      </c>
      <c r="BF236" s="440">
        <f t="shared" si="192"/>
        <v>3328.8731628635783</v>
      </c>
      <c r="BG236" s="440">
        <f t="shared" si="192"/>
        <v>4292.1532327789928</v>
      </c>
      <c r="BH236" s="361"/>
    </row>
    <row r="237" spans="1:60" s="356" customFormat="1" hidden="1" outlineLevel="1" x14ac:dyDescent="0.25">
      <c r="A237" s="292" t="s">
        <v>20</v>
      </c>
      <c r="B237" s="450"/>
      <c r="C237" s="440"/>
      <c r="D237" s="35">
        <v>6.0309999999999997</v>
      </c>
      <c r="E237" s="35">
        <v>27.164999999999999</v>
      </c>
      <c r="F237" s="35">
        <v>11.531000000000001</v>
      </c>
      <c r="G237" s="361">
        <v>3.6539999999999999</v>
      </c>
      <c r="H237" s="361">
        <v>1.0569999999999999</v>
      </c>
      <c r="I237" s="361">
        <v>3.5950000000000002</v>
      </c>
      <c r="J237" s="361">
        <f>K237-I237-H237-G237</f>
        <v>5.0499999999999989</v>
      </c>
      <c r="K237" s="35">
        <v>13.356</v>
      </c>
      <c r="L237" s="361">
        <v>29.16</v>
      </c>
      <c r="M237" s="361">
        <v>36.542999999999999</v>
      </c>
      <c r="N237" s="361">
        <v>46.966000000000001</v>
      </c>
      <c r="O237" s="361">
        <v>58.267000000000003</v>
      </c>
      <c r="P237" s="35">
        <v>170.93600000000001</v>
      </c>
      <c r="Q237" s="361">
        <v>48.061999999999998</v>
      </c>
      <c r="R237" s="361">
        <v>75.22</v>
      </c>
      <c r="S237" s="361">
        <v>76.563999999999993</v>
      </c>
      <c r="T237" s="361">
        <v>99.373999999999995</v>
      </c>
      <c r="U237" s="35">
        <v>299.22000000000003</v>
      </c>
      <c r="V237" s="361">
        <v>115.264</v>
      </c>
      <c r="W237" s="36">
        <v>85.959000000000003</v>
      </c>
      <c r="X237" s="36">
        <v>144.63999999999999</v>
      </c>
      <c r="Y237" s="361">
        <f>Y341</f>
        <v>177.15199999999999</v>
      </c>
      <c r="Z237" s="35">
        <f>Z341</f>
        <v>472.46199999999999</v>
      </c>
      <c r="AA237" s="361">
        <v>213.876</v>
      </c>
      <c r="AB237" s="36">
        <v>271.16899999999998</v>
      </c>
      <c r="AC237" s="36">
        <v>367.40100000000001</v>
      </c>
      <c r="AD237" s="361">
        <f>AD341</f>
        <v>376.57600000000002</v>
      </c>
      <c r="AE237" s="35">
        <f>AE341</f>
        <v>1229.0219999999999</v>
      </c>
      <c r="AF237" s="361">
        <v>380.96899999999999</v>
      </c>
      <c r="AG237" s="36">
        <v>386.37400000000002</v>
      </c>
      <c r="AH237" s="36">
        <v>444.99200000000002</v>
      </c>
      <c r="AI237" s="361">
        <f>AI341</f>
        <v>668.01900000000001</v>
      </c>
      <c r="AJ237" s="35">
        <f>AJ341</f>
        <v>1880.354</v>
      </c>
      <c r="AK237" s="361">
        <f>AK341</f>
        <v>685.53300000000002</v>
      </c>
      <c r="AL237" s="36">
        <v>743.02200000000005</v>
      </c>
      <c r="AM237" s="36">
        <v>667</v>
      </c>
      <c r="AN237" s="361">
        <f t="shared" ref="AN237:AW237" si="194">AN341</f>
        <v>674.44499999999971</v>
      </c>
      <c r="AO237" s="35">
        <f t="shared" si="194"/>
        <v>2770</v>
      </c>
      <c r="AP237" s="361">
        <f t="shared" si="194"/>
        <v>648</v>
      </c>
      <c r="AQ237" s="36">
        <f t="shared" si="194"/>
        <v>558</v>
      </c>
      <c r="AR237" s="36">
        <f t="shared" si="194"/>
        <v>644</v>
      </c>
      <c r="AS237" s="361">
        <f t="shared" si="194"/>
        <v>821</v>
      </c>
      <c r="AT237" s="35">
        <f t="shared" si="194"/>
        <v>2671</v>
      </c>
      <c r="AU237" s="361">
        <f t="shared" si="194"/>
        <v>962</v>
      </c>
      <c r="AV237" s="36">
        <f t="shared" si="194"/>
        <v>986</v>
      </c>
      <c r="AW237" s="792">
        <f t="shared" si="194"/>
        <v>910</v>
      </c>
      <c r="AX237" s="439">
        <f>AX226-AX243</f>
        <v>1073.8292200821188</v>
      </c>
      <c r="AY237" s="440">
        <f>+SUM(AU237,AV237,AW237,AX237)</f>
        <v>3931.8292200821188</v>
      </c>
      <c r="AZ237" s="439">
        <f t="shared" si="191"/>
        <v>1557.6624489657006</v>
      </c>
      <c r="BA237" s="439">
        <f t="shared" si="191"/>
        <v>1809.5214802596947</v>
      </c>
      <c r="BB237" s="439">
        <f t="shared" si="191"/>
        <v>2437.2660514508711</v>
      </c>
      <c r="BC237" s="439">
        <f t="shared" si="191"/>
        <v>2736.2935608359248</v>
      </c>
      <c r="BD237" s="440">
        <f>+SUM(AZ237,BA237,BB237,BC237)</f>
        <v>8540.7435415121909</v>
      </c>
      <c r="BE237" s="440">
        <f t="shared" si="192"/>
        <v>10862.536399906463</v>
      </c>
      <c r="BF237" s="440">
        <f t="shared" si="192"/>
        <v>13139.488618809301</v>
      </c>
      <c r="BG237" s="440">
        <f t="shared" si="192"/>
        <v>15854.687683365628</v>
      </c>
      <c r="BH237" s="361"/>
    </row>
    <row r="238" spans="1:60" s="356" customFormat="1" hidden="1" outlineLevel="1" x14ac:dyDescent="0.25">
      <c r="A238" s="533" t="s">
        <v>21</v>
      </c>
      <c r="B238" s="527"/>
      <c r="C238" s="479"/>
      <c r="D238" s="479"/>
      <c r="E238" s="479"/>
      <c r="F238" s="479"/>
      <c r="G238" s="459"/>
      <c r="H238" s="459"/>
      <c r="I238" s="459"/>
      <c r="J238" s="459"/>
      <c r="K238" s="479"/>
      <c r="L238" s="459"/>
      <c r="M238" s="459"/>
      <c r="N238" s="459"/>
      <c r="O238" s="459"/>
      <c r="P238" s="479"/>
      <c r="Q238" s="459"/>
      <c r="R238" s="459"/>
      <c r="S238" s="459"/>
      <c r="T238" s="459"/>
      <c r="U238" s="479"/>
      <c r="V238" s="459"/>
      <c r="W238" s="459"/>
      <c r="X238" s="459"/>
      <c r="Y238" s="262">
        <f>Y340</f>
        <v>127.779</v>
      </c>
      <c r="Z238" s="261">
        <f>Z340</f>
        <v>178.33199999999999</v>
      </c>
      <c r="AA238" s="262">
        <v>151.773</v>
      </c>
      <c r="AB238" s="263">
        <v>203.762</v>
      </c>
      <c r="AC238" s="263">
        <v>237.28800000000001</v>
      </c>
      <c r="AD238" s="262">
        <f>AD340</f>
        <v>281.71499999999997</v>
      </c>
      <c r="AE238" s="261">
        <f>AE340</f>
        <v>874.53800000000001</v>
      </c>
      <c r="AF238" s="262">
        <v>375.363</v>
      </c>
      <c r="AG238" s="263">
        <v>330.27300000000002</v>
      </c>
      <c r="AH238" s="263">
        <v>330.55399999999997</v>
      </c>
      <c r="AI238" s="262">
        <f>AI340</f>
        <v>328.7059999999999</v>
      </c>
      <c r="AJ238" s="261">
        <f>AJ340</f>
        <v>1364.896</v>
      </c>
      <c r="AK238" s="262">
        <f>AK340</f>
        <v>316.887</v>
      </c>
      <c r="AL238" s="263">
        <v>325.52300000000002</v>
      </c>
      <c r="AM238" s="263">
        <v>314</v>
      </c>
      <c r="AN238" s="262">
        <f t="shared" ref="AN238:AW238" si="195">AN340</f>
        <v>384.58999999999992</v>
      </c>
      <c r="AO238" s="261">
        <f t="shared" si="195"/>
        <v>1341</v>
      </c>
      <c r="AP238" s="262">
        <f t="shared" si="195"/>
        <v>282</v>
      </c>
      <c r="AQ238" s="263">
        <f t="shared" si="195"/>
        <v>349</v>
      </c>
      <c r="AR238" s="263">
        <f t="shared" si="195"/>
        <v>558</v>
      </c>
      <c r="AS238" s="262">
        <f t="shared" si="195"/>
        <v>787</v>
      </c>
      <c r="AT238" s="261">
        <f t="shared" si="195"/>
        <v>1976</v>
      </c>
      <c r="AU238" s="262">
        <f t="shared" si="195"/>
        <v>595</v>
      </c>
      <c r="AV238" s="263">
        <f t="shared" si="195"/>
        <v>781</v>
      </c>
      <c r="AW238" s="794">
        <f t="shared" si="195"/>
        <v>803</v>
      </c>
      <c r="AX238" s="459">
        <f>AX227-AX244</f>
        <v>963.8767380319149</v>
      </c>
      <c r="AY238" s="479">
        <f>+SUM(AU238,AV238,AW238,AX238)</f>
        <v>3142.876738031915</v>
      </c>
      <c r="AZ238" s="459">
        <f t="shared" si="191"/>
        <v>820.46810931174082</v>
      </c>
      <c r="BA238" s="459">
        <f t="shared" si="191"/>
        <v>1305.2818993445694</v>
      </c>
      <c r="BB238" s="459">
        <f t="shared" si="191"/>
        <v>1321.9930102357323</v>
      </c>
      <c r="BC238" s="459">
        <f t="shared" si="191"/>
        <v>1618.2119162234044</v>
      </c>
      <c r="BD238" s="479">
        <f>+SUM(AZ238,BA238,BB238,BC238)</f>
        <v>5065.9549351154474</v>
      </c>
      <c r="BE238" s="479">
        <f t="shared" si="192"/>
        <v>7264.3730287799017</v>
      </c>
      <c r="BF238" s="479">
        <f t="shared" si="192"/>
        <v>10586.730940306797</v>
      </c>
      <c r="BG238" s="479">
        <f t="shared" si="192"/>
        <v>15568.492628627357</v>
      </c>
      <c r="BH238" s="361"/>
    </row>
    <row r="239" spans="1:60" s="116" customFormat="1" hidden="1" outlineLevel="1" x14ac:dyDescent="0.25">
      <c r="A239" s="534" t="s">
        <v>22</v>
      </c>
      <c r="B239" s="529"/>
      <c r="C239" s="29">
        <f t="shared" ref="C239:AE239" si="196">SUM(C235:C238)</f>
        <v>102.408</v>
      </c>
      <c r="D239" s="29">
        <f t="shared" si="196"/>
        <v>86.013000000000005</v>
      </c>
      <c r="E239" s="29">
        <f t="shared" si="196"/>
        <v>142.64699999999999</v>
      </c>
      <c r="F239" s="29">
        <f t="shared" si="196"/>
        <v>383.18900000000002</v>
      </c>
      <c r="G239" s="30">
        <f t="shared" si="196"/>
        <v>465.47199999999998</v>
      </c>
      <c r="H239" s="30">
        <f t="shared" si="196"/>
        <v>304.65600000000001</v>
      </c>
      <c r="I239" s="30">
        <f t="shared" si="196"/>
        <v>328.47800000000001</v>
      </c>
      <c r="J239" s="30">
        <f t="shared" si="196"/>
        <v>458.62799999999999</v>
      </c>
      <c r="K239" s="29">
        <f t="shared" si="196"/>
        <v>1557.2339999999999</v>
      </c>
      <c r="L239" s="30">
        <f t="shared" si="196"/>
        <v>465.41400000000004</v>
      </c>
      <c r="M239" s="30">
        <f t="shared" si="196"/>
        <v>556.35400000000004</v>
      </c>
      <c r="N239" s="30">
        <f t="shared" si="196"/>
        <v>599.95299999999997</v>
      </c>
      <c r="O239" s="30">
        <f t="shared" si="196"/>
        <v>694.96400000000006</v>
      </c>
      <c r="P239" s="29">
        <f t="shared" si="196"/>
        <v>2316.6849999999999</v>
      </c>
      <c r="Q239" s="30">
        <f t="shared" si="196"/>
        <v>679.80700000000002</v>
      </c>
      <c r="R239" s="30">
        <f t="shared" si="196"/>
        <v>741.60599999999999</v>
      </c>
      <c r="S239" s="30">
        <f t="shared" si="196"/>
        <v>705.29300000000001</v>
      </c>
      <c r="T239" s="30">
        <f t="shared" si="196"/>
        <v>995.81600000000003</v>
      </c>
      <c r="U239" s="29">
        <f t="shared" si="196"/>
        <v>3122.5219999999999</v>
      </c>
      <c r="V239" s="30">
        <f t="shared" si="196"/>
        <v>894.58</v>
      </c>
      <c r="W239" s="31">
        <f t="shared" si="196"/>
        <v>995.24099999999999</v>
      </c>
      <c r="X239" s="31">
        <f t="shared" si="196"/>
        <v>1661.701</v>
      </c>
      <c r="Y239" s="30">
        <f t="shared" si="196"/>
        <v>1849.3530000000001</v>
      </c>
      <c r="Z239" s="29">
        <f t="shared" si="196"/>
        <v>5400.875</v>
      </c>
      <c r="AA239" s="30">
        <f t="shared" si="196"/>
        <v>2028.3239999999998</v>
      </c>
      <c r="AB239" s="31">
        <f t="shared" si="196"/>
        <v>2122.942</v>
      </c>
      <c r="AC239" s="31">
        <f t="shared" si="196"/>
        <v>2535.5349999999999</v>
      </c>
      <c r="AD239" s="30">
        <f t="shared" si="196"/>
        <v>2849.4630000000002</v>
      </c>
      <c r="AE239" s="29">
        <f t="shared" si="196"/>
        <v>9536.2639999999992</v>
      </c>
      <c r="AF239" s="30">
        <v>2952.2249999999999</v>
      </c>
      <c r="AG239" s="31">
        <f t="shared" ref="AG239:BG239" si="197">SUM(AG235:AG238)</f>
        <v>3383.3010000000004</v>
      </c>
      <c r="AH239" s="31">
        <f t="shared" si="197"/>
        <v>5300.7480000000005</v>
      </c>
      <c r="AI239" s="30">
        <f t="shared" si="197"/>
        <v>5782.973</v>
      </c>
      <c r="AJ239" s="29">
        <f t="shared" si="197"/>
        <v>17419.246999999999</v>
      </c>
      <c r="AK239" s="30">
        <f t="shared" si="197"/>
        <v>3975.721</v>
      </c>
      <c r="AL239" s="31">
        <f t="shared" si="197"/>
        <v>5428.63</v>
      </c>
      <c r="AM239" s="31">
        <f t="shared" si="197"/>
        <v>5112</v>
      </c>
      <c r="AN239" s="30">
        <f t="shared" si="197"/>
        <v>5992.6490000000003</v>
      </c>
      <c r="AO239" s="29">
        <f t="shared" si="197"/>
        <v>20509</v>
      </c>
      <c r="AP239" s="30">
        <f t="shared" si="197"/>
        <v>4751</v>
      </c>
      <c r="AQ239" s="31">
        <f t="shared" si="197"/>
        <v>4769</v>
      </c>
      <c r="AR239" s="31">
        <f t="shared" si="197"/>
        <v>6708</v>
      </c>
      <c r="AS239" s="30">
        <f t="shared" si="197"/>
        <v>8678</v>
      </c>
      <c r="AT239" s="29">
        <f t="shared" si="197"/>
        <v>24906</v>
      </c>
      <c r="AU239" s="30">
        <f t="shared" si="197"/>
        <v>8174</v>
      </c>
      <c r="AV239" s="31">
        <f t="shared" si="197"/>
        <v>9074</v>
      </c>
      <c r="AW239" s="795">
        <f t="shared" si="197"/>
        <v>10097</v>
      </c>
      <c r="AX239" s="44">
        <f t="shared" si="197"/>
        <v>12239.62578095539</v>
      </c>
      <c r="AY239" s="45">
        <f t="shared" si="197"/>
        <v>39584.625780955394</v>
      </c>
      <c r="AZ239" s="44">
        <f t="shared" si="197"/>
        <v>15444.940949923286</v>
      </c>
      <c r="BA239" s="44">
        <f t="shared" si="197"/>
        <v>18315.097051475947</v>
      </c>
      <c r="BB239" s="44">
        <f t="shared" si="197"/>
        <v>21679.145808670353</v>
      </c>
      <c r="BC239" s="44">
        <f t="shared" si="197"/>
        <v>24753.83998415765</v>
      </c>
      <c r="BD239" s="45">
        <f t="shared" si="197"/>
        <v>80193.023794227222</v>
      </c>
      <c r="BE239" s="45">
        <f t="shared" si="197"/>
        <v>98965.802949378645</v>
      </c>
      <c r="BF239" s="45">
        <f t="shared" si="197"/>
        <v>121457.34870903401</v>
      </c>
      <c r="BG239" s="45">
        <f t="shared" si="197"/>
        <v>149342.44244734794</v>
      </c>
      <c r="BH239" s="368"/>
    </row>
    <row r="240" spans="1:60" s="114" customFormat="1" collapsed="1" x14ac:dyDescent="0.25">
      <c r="A240" s="635"/>
      <c r="B240" s="642"/>
      <c r="C240" s="252"/>
      <c r="D240" s="252"/>
      <c r="E240" s="252"/>
      <c r="F240" s="252"/>
      <c r="G240" s="370"/>
      <c r="H240" s="370"/>
      <c r="I240" s="370"/>
      <c r="J240" s="370"/>
      <c r="K240" s="252"/>
      <c r="L240" s="370"/>
      <c r="M240" s="370"/>
      <c r="N240" s="370"/>
      <c r="O240" s="370"/>
      <c r="P240" s="252"/>
      <c r="Q240" s="370"/>
      <c r="R240" s="370"/>
      <c r="S240" s="370"/>
      <c r="T240" s="370"/>
      <c r="U240" s="252"/>
      <c r="V240" s="370"/>
      <c r="W240" s="370"/>
      <c r="X240" s="370"/>
      <c r="Y240" s="370"/>
      <c r="Z240" s="252"/>
      <c r="AA240" s="370"/>
      <c r="AB240" s="370"/>
      <c r="AC240" s="370"/>
      <c r="AD240" s="370"/>
      <c r="AE240" s="252"/>
      <c r="AF240" s="370"/>
      <c r="AG240" s="370"/>
      <c r="AH240" s="370"/>
      <c r="AI240" s="370"/>
      <c r="AJ240" s="252"/>
      <c r="AK240" s="370"/>
      <c r="AL240" s="370"/>
      <c r="AM240" s="370"/>
      <c r="AN240" s="370"/>
      <c r="AO240" s="252"/>
      <c r="AP240" s="370"/>
      <c r="AQ240" s="370"/>
      <c r="AR240" s="370"/>
      <c r="AS240" s="370"/>
      <c r="AT240" s="252"/>
      <c r="AU240" s="370"/>
      <c r="AV240" s="370"/>
      <c r="AW240" s="728"/>
      <c r="AX240" s="370"/>
      <c r="AY240" s="252"/>
      <c r="AZ240" s="370"/>
      <c r="BA240" s="370"/>
      <c r="BB240" s="370"/>
      <c r="BC240" s="370"/>
      <c r="BD240" s="252"/>
      <c r="BE240" s="252"/>
      <c r="BF240" s="252"/>
      <c r="BG240" s="252"/>
      <c r="BH240" s="365"/>
    </row>
    <row r="241" spans="1:60" s="356" customFormat="1" x14ac:dyDescent="0.25">
      <c r="A241" s="526" t="s">
        <v>654</v>
      </c>
      <c r="B241" s="577"/>
      <c r="C241" s="440">
        <f t="shared" ref="C241:AW241" si="198">C224-C235</f>
        <v>9.5349999999999966</v>
      </c>
      <c r="D241" s="440">
        <f t="shared" si="198"/>
        <v>17.096000000000004</v>
      </c>
      <c r="E241" s="440">
        <f t="shared" si="198"/>
        <v>33.086000000000013</v>
      </c>
      <c r="F241" s="440">
        <f t="shared" si="198"/>
        <v>14.040999999999997</v>
      </c>
      <c r="G241" s="439">
        <f t="shared" si="198"/>
        <v>93.384999999999991</v>
      </c>
      <c r="H241" s="439">
        <f t="shared" si="198"/>
        <v>97.936000000000035</v>
      </c>
      <c r="I241" s="439">
        <f t="shared" si="198"/>
        <v>105.31300000000005</v>
      </c>
      <c r="J241" s="439">
        <f t="shared" si="198"/>
        <v>157.27400000000011</v>
      </c>
      <c r="K241" s="440">
        <f t="shared" si="198"/>
        <v>453.90800000000013</v>
      </c>
      <c r="L241" s="439">
        <f t="shared" si="198"/>
        <v>152.61699999999996</v>
      </c>
      <c r="M241" s="439">
        <f t="shared" si="198"/>
        <v>208.01799999999992</v>
      </c>
      <c r="N241" s="439">
        <f t="shared" si="198"/>
        <v>246.928</v>
      </c>
      <c r="O241" s="439">
        <f t="shared" si="198"/>
        <v>253.69899999999996</v>
      </c>
      <c r="P241" s="440">
        <f t="shared" si="198"/>
        <v>861.26300000000037</v>
      </c>
      <c r="Q241" s="439">
        <f t="shared" si="198"/>
        <v>261.57500000000005</v>
      </c>
      <c r="R241" s="439">
        <f t="shared" si="198"/>
        <v>211.70400000000006</v>
      </c>
      <c r="S241" s="439">
        <f t="shared" si="198"/>
        <v>223.82599999999991</v>
      </c>
      <c r="T241" s="439">
        <f t="shared" si="198"/>
        <v>220.56600000000003</v>
      </c>
      <c r="U241" s="440">
        <f t="shared" si="198"/>
        <v>917.67099999999982</v>
      </c>
      <c r="V241" s="439">
        <f t="shared" si="198"/>
        <v>246.74800000000005</v>
      </c>
      <c r="W241" s="439">
        <f t="shared" si="198"/>
        <v>272.57000000000005</v>
      </c>
      <c r="X241" s="439">
        <f t="shared" si="198"/>
        <v>562.33999999999992</v>
      </c>
      <c r="Y241" s="439">
        <f t="shared" si="198"/>
        <v>366.84500000000003</v>
      </c>
      <c r="Z241" s="440">
        <f t="shared" si="198"/>
        <v>1320.9199999999992</v>
      </c>
      <c r="AA241" s="439">
        <f t="shared" si="198"/>
        <v>538.41100000000006</v>
      </c>
      <c r="AB241" s="439">
        <f t="shared" si="198"/>
        <v>541.27400000000011</v>
      </c>
      <c r="AC241" s="439">
        <f t="shared" si="198"/>
        <v>321.10900000000015</v>
      </c>
      <c r="AD241" s="439">
        <f t="shared" si="198"/>
        <v>409.47799999999984</v>
      </c>
      <c r="AE241" s="440">
        <f t="shared" si="198"/>
        <v>1810.2720000000008</v>
      </c>
      <c r="AF241" s="439">
        <f t="shared" si="198"/>
        <v>470.48399999999992</v>
      </c>
      <c r="AG241" s="439">
        <f t="shared" si="198"/>
        <v>588.12599999999975</v>
      </c>
      <c r="AH241" s="439">
        <f t="shared" si="198"/>
        <v>1472.3860000000004</v>
      </c>
      <c r="AI241" s="439">
        <f t="shared" si="198"/>
        <v>1414.9540000000015</v>
      </c>
      <c r="AJ241" s="440">
        <f t="shared" si="198"/>
        <v>3945.9500000000007</v>
      </c>
      <c r="AK241" s="439">
        <f t="shared" si="198"/>
        <v>652.53200000000015</v>
      </c>
      <c r="AL241" s="439">
        <f t="shared" si="198"/>
        <v>914.26400000000012</v>
      </c>
      <c r="AM241" s="439">
        <f t="shared" si="198"/>
        <v>1118</v>
      </c>
      <c r="AN241" s="439">
        <f t="shared" si="198"/>
        <v>1328.2039999999997</v>
      </c>
      <c r="AO241" s="440">
        <f t="shared" si="198"/>
        <v>4013</v>
      </c>
      <c r="AP241" s="439">
        <f t="shared" si="198"/>
        <v>1194</v>
      </c>
      <c r="AQ241" s="439">
        <f t="shared" si="198"/>
        <v>1197</v>
      </c>
      <c r="AR241" s="439">
        <f t="shared" si="198"/>
        <v>1985</v>
      </c>
      <c r="AS241" s="439">
        <f t="shared" si="198"/>
        <v>2112</v>
      </c>
      <c r="AT241" s="440">
        <f t="shared" si="198"/>
        <v>6488</v>
      </c>
      <c r="AU241" s="439">
        <f t="shared" si="198"/>
        <v>2248</v>
      </c>
      <c r="AV241" s="439">
        <f t="shared" si="198"/>
        <v>2755</v>
      </c>
      <c r="AW241" s="726">
        <f t="shared" si="198"/>
        <v>3522</v>
      </c>
      <c r="AX241" s="439">
        <f>AX129</f>
        <v>4473.3961190675082</v>
      </c>
      <c r="AY241" s="440">
        <f>SUM(AU241,AV241,AW241,AX241)</f>
        <v>12998.396119067507</v>
      </c>
      <c r="AZ241" s="439">
        <f>AZ129</f>
        <v>5744.7102850338451</v>
      </c>
      <c r="BA241" s="439">
        <f>BA129</f>
        <v>6678.856147355631</v>
      </c>
      <c r="BB241" s="439">
        <f>BB129</f>
        <v>8245.7855978931493</v>
      </c>
      <c r="BC241" s="439">
        <f>BC129</f>
        <v>9003.150757900954</v>
      </c>
      <c r="BD241" s="440">
        <f>SUM(AZ241,BA241,BB241,BC241)</f>
        <v>29672.502788183578</v>
      </c>
      <c r="BE241" s="440">
        <f>BE129</f>
        <v>35905.232108776196</v>
      </c>
      <c r="BF241" s="440">
        <f>BF129</f>
        <v>43415.011405999787</v>
      </c>
      <c r="BG241" s="440">
        <f>BG129</f>
        <v>52498.928269273682</v>
      </c>
      <c r="BH241" s="361"/>
    </row>
    <row r="242" spans="1:60" s="356" customFormat="1" x14ac:dyDescent="0.25">
      <c r="A242" s="526" t="s">
        <v>655</v>
      </c>
      <c r="B242" s="577"/>
      <c r="C242" s="440"/>
      <c r="D242" s="440"/>
      <c r="E242" s="440"/>
      <c r="F242" s="440"/>
      <c r="G242" s="439"/>
      <c r="H242" s="439"/>
      <c r="I242" s="439"/>
      <c r="J242" s="439"/>
      <c r="K242" s="440"/>
      <c r="L242" s="439"/>
      <c r="M242" s="439"/>
      <c r="N242" s="439"/>
      <c r="O242" s="439"/>
      <c r="P242" s="440"/>
      <c r="Q242" s="439"/>
      <c r="R242" s="439"/>
      <c r="S242" s="439"/>
      <c r="T242" s="439"/>
      <c r="U242" s="440"/>
      <c r="V242" s="439"/>
      <c r="W242" s="439"/>
      <c r="X242" s="439">
        <f t="shared" ref="X242:AW242" si="199">X225-X236</f>
        <v>69.325999999999993</v>
      </c>
      <c r="Y242" s="439">
        <f t="shared" si="199"/>
        <v>82.855999999999995</v>
      </c>
      <c r="Z242" s="440">
        <f t="shared" si="199"/>
        <v>279.76499999999999</v>
      </c>
      <c r="AA242" s="439">
        <f t="shared" si="199"/>
        <v>88.513999999999982</v>
      </c>
      <c r="AB242" s="439">
        <f t="shared" si="199"/>
        <v>97.331000000000017</v>
      </c>
      <c r="AC242" s="439">
        <f t="shared" si="199"/>
        <v>110.93400000000003</v>
      </c>
      <c r="AD242" s="439">
        <f t="shared" si="199"/>
        <v>101.54500000000002</v>
      </c>
      <c r="AE242" s="440">
        <f t="shared" si="199"/>
        <v>398.32399999999996</v>
      </c>
      <c r="AF242" s="439">
        <f t="shared" si="199"/>
        <v>68.940000000000012</v>
      </c>
      <c r="AG242" s="439">
        <f t="shared" si="199"/>
        <v>102.90100000000001</v>
      </c>
      <c r="AH242" s="439">
        <f t="shared" si="199"/>
        <v>101.17800000000001</v>
      </c>
      <c r="AI242" s="439">
        <f t="shared" si="199"/>
        <v>122.01700000000005</v>
      </c>
      <c r="AJ242" s="440">
        <f t="shared" si="199"/>
        <v>395.036</v>
      </c>
      <c r="AK242" s="439">
        <f t="shared" si="199"/>
        <v>98.028000000000006</v>
      </c>
      <c r="AL242" s="439">
        <f t="shared" si="199"/>
        <v>102.03999999999999</v>
      </c>
      <c r="AM242" s="439">
        <f t="shared" si="199"/>
        <v>104</v>
      </c>
      <c r="AN242" s="439">
        <f t="shared" si="199"/>
        <v>105.93200000000002</v>
      </c>
      <c r="AO242" s="440">
        <f t="shared" si="199"/>
        <v>410</v>
      </c>
      <c r="AP242" s="439">
        <f t="shared" si="199"/>
        <v>117</v>
      </c>
      <c r="AQ242" s="439">
        <f t="shared" si="199"/>
        <v>120</v>
      </c>
      <c r="AR242" s="439">
        <f t="shared" si="199"/>
        <v>120</v>
      </c>
      <c r="AS242" s="439">
        <f t="shared" si="199"/>
        <v>132</v>
      </c>
      <c r="AT242" s="440">
        <f t="shared" si="199"/>
        <v>489</v>
      </c>
      <c r="AU242" s="439">
        <f t="shared" si="199"/>
        <v>137</v>
      </c>
      <c r="AV242" s="439">
        <f t="shared" si="199"/>
        <v>144</v>
      </c>
      <c r="AW242" s="726">
        <f t="shared" si="199"/>
        <v>151</v>
      </c>
      <c r="AX242" s="439">
        <f>AX176</f>
        <v>205.08210285307698</v>
      </c>
      <c r="AY242" s="440">
        <f>SUM(AU242,AV242,AW242,AX242)</f>
        <v>637.082102853077</v>
      </c>
      <c r="AZ242" s="439">
        <f>AZ176</f>
        <v>235.13589734621067</v>
      </c>
      <c r="BA242" s="439">
        <f>BA176</f>
        <v>257.22130724967985</v>
      </c>
      <c r="BB242" s="439">
        <f>BB176</f>
        <v>308.87150137136484</v>
      </c>
      <c r="BC242" s="439">
        <f>BC176</f>
        <v>377.93527825628911</v>
      </c>
      <c r="BD242" s="440">
        <f>SUM(AZ242,BA242,BB242,BC242)</f>
        <v>1179.1639842235445</v>
      </c>
      <c r="BE242" s="440">
        <f>BE176</f>
        <v>1943.1567445535484</v>
      </c>
      <c r="BF242" s="440">
        <f>BF176</f>
        <v>2702.7068590692093</v>
      </c>
      <c r="BG242" s="440">
        <f>BG176</f>
        <v>3498.9090386172156</v>
      </c>
      <c r="BH242" s="361"/>
    </row>
    <row r="243" spans="1:60" s="356" customFormat="1" x14ac:dyDescent="0.25">
      <c r="A243" s="526" t="s">
        <v>656</v>
      </c>
      <c r="B243" s="577"/>
      <c r="C243" s="440">
        <f t="shared" ref="C243:W243" si="200">C226-C237</f>
        <v>0</v>
      </c>
      <c r="D243" s="440">
        <f t="shared" si="200"/>
        <v>13.635000000000002</v>
      </c>
      <c r="E243" s="440">
        <f t="shared" si="200"/>
        <v>28.509</v>
      </c>
      <c r="F243" s="440">
        <f t="shared" si="200"/>
        <v>16.025999999999996</v>
      </c>
      <c r="G243" s="439">
        <f t="shared" si="200"/>
        <v>2.9350000000000005</v>
      </c>
      <c r="H243" s="439">
        <f t="shared" si="200"/>
        <v>2.5470000000000002</v>
      </c>
      <c r="I243" s="439">
        <f t="shared" si="200"/>
        <v>-2.4450000000000003</v>
      </c>
      <c r="J243" s="439">
        <f t="shared" si="200"/>
        <v>-0.68299999999999983</v>
      </c>
      <c r="K243" s="440">
        <f t="shared" si="200"/>
        <v>2.354000000000001</v>
      </c>
      <c r="L243" s="439">
        <f t="shared" si="200"/>
        <v>2.5109999999999992</v>
      </c>
      <c r="M243" s="439">
        <f t="shared" si="200"/>
        <v>4.9770000000000039</v>
      </c>
      <c r="N243" s="439">
        <f t="shared" si="200"/>
        <v>4.9230000000000018</v>
      </c>
      <c r="O243" s="439">
        <f t="shared" si="200"/>
        <v>7.9979999999999976</v>
      </c>
      <c r="P243" s="440">
        <f t="shared" si="200"/>
        <v>20.407999999999987</v>
      </c>
      <c r="Q243" s="439">
        <f t="shared" si="200"/>
        <v>-1.5019999999999953</v>
      </c>
      <c r="R243" s="439">
        <f t="shared" si="200"/>
        <v>1.6659999999999968</v>
      </c>
      <c r="S243" s="439">
        <f t="shared" si="200"/>
        <v>7.6700000000000017</v>
      </c>
      <c r="T243" s="439">
        <f t="shared" si="200"/>
        <v>-2.0019999999999953</v>
      </c>
      <c r="U243" s="440">
        <f t="shared" si="200"/>
        <v>5.8319999999999936</v>
      </c>
      <c r="V243" s="439">
        <f t="shared" si="200"/>
        <v>5.7199999999999989</v>
      </c>
      <c r="W243" s="439">
        <f t="shared" si="200"/>
        <v>2.2060000000000031</v>
      </c>
      <c r="X243" s="439">
        <f t="shared" ref="X243:AW243" si="201">X226-X237</f>
        <v>5.0690000000000168</v>
      </c>
      <c r="Y243" s="439">
        <f t="shared" si="201"/>
        <v>-18.028999999999996</v>
      </c>
      <c r="Z243" s="440">
        <f t="shared" si="201"/>
        <v>-4.4900000000000091</v>
      </c>
      <c r="AA243" s="439">
        <f t="shared" si="201"/>
        <v>-21.150000000000006</v>
      </c>
      <c r="AB243" s="439">
        <f t="shared" si="201"/>
        <v>-55.007999999999981</v>
      </c>
      <c r="AC243" s="439">
        <f t="shared" si="201"/>
        <v>-63.120000000000005</v>
      </c>
      <c r="AD243" s="439">
        <f t="shared" si="201"/>
        <v>-88.559000000000026</v>
      </c>
      <c r="AE243" s="440">
        <f t="shared" si="201"/>
        <v>-227.83699999999999</v>
      </c>
      <c r="AF243" s="439">
        <f t="shared" si="201"/>
        <v>-117.55700000000002</v>
      </c>
      <c r="AG243" s="439">
        <f t="shared" si="201"/>
        <v>-116.23200000000003</v>
      </c>
      <c r="AH243" s="439">
        <f t="shared" si="201"/>
        <v>-118.66200000000003</v>
      </c>
      <c r="AI243" s="439">
        <f t="shared" si="201"/>
        <v>-136.86200000000008</v>
      </c>
      <c r="AJ243" s="440">
        <f t="shared" si="201"/>
        <v>-489.3130000000001</v>
      </c>
      <c r="AK243" s="439">
        <f t="shared" si="201"/>
        <v>-192.59100000000001</v>
      </c>
      <c r="AL243" s="439">
        <f t="shared" si="201"/>
        <v>-137.9430000000001</v>
      </c>
      <c r="AM243" s="439">
        <f t="shared" si="201"/>
        <v>-119</v>
      </c>
      <c r="AN243" s="439">
        <f t="shared" si="201"/>
        <v>-94.465999999999667</v>
      </c>
      <c r="AO243" s="440">
        <f t="shared" si="201"/>
        <v>-544</v>
      </c>
      <c r="AP243" s="439">
        <f t="shared" si="201"/>
        <v>-88</v>
      </c>
      <c r="AQ243" s="439">
        <f t="shared" si="201"/>
        <v>-71</v>
      </c>
      <c r="AR243" s="439">
        <f t="shared" si="201"/>
        <v>-63</v>
      </c>
      <c r="AS243" s="439">
        <f t="shared" si="201"/>
        <v>-143</v>
      </c>
      <c r="AT243" s="440">
        <f t="shared" si="201"/>
        <v>-365</v>
      </c>
      <c r="AU243" s="439">
        <f t="shared" si="201"/>
        <v>-69</v>
      </c>
      <c r="AV243" s="439">
        <f t="shared" si="201"/>
        <v>-35</v>
      </c>
      <c r="AW243" s="726">
        <f t="shared" si="201"/>
        <v>-16</v>
      </c>
      <c r="AX243" s="439">
        <f>AX190</f>
        <v>-32.201356948782788</v>
      </c>
      <c r="AY243" s="440">
        <f>SUM(AU243,AV243,AW243,AX243)</f>
        <v>-152.2013569487828</v>
      </c>
      <c r="AZ243" s="439">
        <f>AZ190</f>
        <v>-33.929923043628676</v>
      </c>
      <c r="BA243" s="439">
        <f>BA190</f>
        <v>-38.611790141535266</v>
      </c>
      <c r="BB243" s="439">
        <f>BB190</f>
        <v>-54.557105288527055</v>
      </c>
      <c r="BC243" s="439">
        <f>BC190</f>
        <v>-56.055711942924425</v>
      </c>
      <c r="BD243" s="440">
        <f>SUM(AZ243,BA243,BB243,BC243)</f>
        <v>-183.15453041661542</v>
      </c>
      <c r="BE243" s="440">
        <f>BE190</f>
        <v>-180.68098624447981</v>
      </c>
      <c r="BF243" s="440">
        <f>BF190</f>
        <v>-193.09235146047999</v>
      </c>
      <c r="BG243" s="440">
        <f>BG190</f>
        <v>-202.14873347349848</v>
      </c>
      <c r="BH243" s="361"/>
    </row>
    <row r="244" spans="1:60" s="356" customFormat="1" x14ac:dyDescent="0.25">
      <c r="A244" s="526" t="s">
        <v>657</v>
      </c>
      <c r="B244" s="577"/>
      <c r="C244" s="440"/>
      <c r="D244" s="440"/>
      <c r="E244" s="440"/>
      <c r="F244" s="440"/>
      <c r="G244" s="439"/>
      <c r="H244" s="439"/>
      <c r="I244" s="439"/>
      <c r="J244" s="439"/>
      <c r="K244" s="440"/>
      <c r="L244" s="439"/>
      <c r="M244" s="439"/>
      <c r="N244" s="439"/>
      <c r="O244" s="439"/>
      <c r="P244" s="440"/>
      <c r="Q244" s="439"/>
      <c r="R244" s="439"/>
      <c r="S244" s="439"/>
      <c r="T244" s="439"/>
      <c r="U244" s="440"/>
      <c r="V244" s="439"/>
      <c r="W244" s="439"/>
      <c r="X244" s="439"/>
      <c r="Y244" s="439">
        <f t="shared" ref="Y244:AW244" si="202">Y227-Y238</f>
        <v>3.6059999999999945</v>
      </c>
      <c r="Z244" s="440">
        <f t="shared" si="202"/>
        <v>3.0620000000000118</v>
      </c>
      <c r="AA244" s="439">
        <f t="shared" si="202"/>
        <v>62.170999999999992</v>
      </c>
      <c r="AB244" s="439">
        <f t="shared" si="202"/>
        <v>83.017999999999972</v>
      </c>
      <c r="AC244" s="439">
        <f t="shared" si="202"/>
        <v>80.216999999999985</v>
      </c>
      <c r="AD244" s="439">
        <f t="shared" si="202"/>
        <v>16.322000000000003</v>
      </c>
      <c r="AE244" s="440">
        <f t="shared" si="202"/>
        <v>241.72800000000007</v>
      </c>
      <c r="AF244" s="439">
        <f t="shared" si="202"/>
        <v>34.658999999999992</v>
      </c>
      <c r="AG244" s="439">
        <f t="shared" si="202"/>
        <v>44.134999999999991</v>
      </c>
      <c r="AH244" s="439">
        <f t="shared" si="202"/>
        <v>68.763000000000034</v>
      </c>
      <c r="AI244" s="439">
        <f t="shared" si="202"/>
        <v>42.79099999999994</v>
      </c>
      <c r="AJ244" s="440">
        <f t="shared" si="202"/>
        <v>190.34799999999996</v>
      </c>
      <c r="AK244" s="439">
        <f t="shared" si="202"/>
        <v>7.7740000000000009</v>
      </c>
      <c r="AL244" s="439">
        <f t="shared" si="202"/>
        <v>42.685000000000002</v>
      </c>
      <c r="AM244" s="439">
        <f t="shared" si="202"/>
        <v>88</v>
      </c>
      <c r="AN244" s="439">
        <f t="shared" si="202"/>
        <v>51.54099999999994</v>
      </c>
      <c r="AO244" s="440">
        <f t="shared" si="202"/>
        <v>190</v>
      </c>
      <c r="AP244" s="439">
        <f t="shared" si="202"/>
        <v>11</v>
      </c>
      <c r="AQ244" s="439">
        <f t="shared" si="202"/>
        <v>21</v>
      </c>
      <c r="AR244" s="439">
        <f t="shared" si="202"/>
        <v>21</v>
      </c>
      <c r="AS244" s="439">
        <f t="shared" si="202"/>
        <v>-35</v>
      </c>
      <c r="AT244" s="440">
        <f t="shared" si="202"/>
        <v>18</v>
      </c>
      <c r="AU244" s="439">
        <f t="shared" si="202"/>
        <v>-101</v>
      </c>
      <c r="AV244" s="439">
        <f t="shared" si="202"/>
        <v>20</v>
      </c>
      <c r="AW244" s="726">
        <f t="shared" si="202"/>
        <v>3</v>
      </c>
      <c r="AX244" s="439">
        <f>AX217</f>
        <v>13.148261968085107</v>
      </c>
      <c r="AY244" s="440">
        <f>SUM(AU244,AV244,AW244,AX244)</f>
        <v>-64.851738031914891</v>
      </c>
      <c r="AZ244" s="439">
        <f>AZ217</f>
        <v>12.95689068825912</v>
      </c>
      <c r="BA244" s="439">
        <f>BA217</f>
        <v>13.143100655430713</v>
      </c>
      <c r="BB244" s="439">
        <f>BB217</f>
        <v>11.631989764267992</v>
      </c>
      <c r="BC244" s="439">
        <f>BC217</f>
        <v>20.413083776595744</v>
      </c>
      <c r="BD244" s="440">
        <f>SUM(AZ244,BA244,BB244,BC244)</f>
        <v>58.145064884553562</v>
      </c>
      <c r="BE244" s="440">
        <f>BE217</f>
        <v>120.72697122010044</v>
      </c>
      <c r="BF244" s="440">
        <f>BF217</f>
        <v>197.86905969320594</v>
      </c>
      <c r="BG244" s="440">
        <f>BG217</f>
        <v>323.35737137264942</v>
      </c>
      <c r="BH244" s="361"/>
    </row>
    <row r="245" spans="1:60" s="116" customFormat="1" x14ac:dyDescent="0.25">
      <c r="A245" s="528" t="s">
        <v>658</v>
      </c>
      <c r="B245" s="636"/>
      <c r="C245" s="45">
        <f t="shared" ref="C245:AH245" si="203">SUM(C241:C244)</f>
        <v>9.5349999999999966</v>
      </c>
      <c r="D245" s="45">
        <f t="shared" si="203"/>
        <v>30.731000000000005</v>
      </c>
      <c r="E245" s="45">
        <f t="shared" si="203"/>
        <v>61.595000000000013</v>
      </c>
      <c r="F245" s="45">
        <f t="shared" si="203"/>
        <v>30.066999999999993</v>
      </c>
      <c r="G245" s="44">
        <f t="shared" si="203"/>
        <v>96.32</v>
      </c>
      <c r="H245" s="44">
        <f t="shared" si="203"/>
        <v>100.48300000000003</v>
      </c>
      <c r="I245" s="44">
        <f t="shared" si="203"/>
        <v>102.86800000000005</v>
      </c>
      <c r="J245" s="44">
        <f t="shared" si="203"/>
        <v>156.59100000000012</v>
      </c>
      <c r="K245" s="45">
        <f t="shared" si="203"/>
        <v>456.26200000000011</v>
      </c>
      <c r="L245" s="44">
        <f t="shared" si="203"/>
        <v>155.12799999999996</v>
      </c>
      <c r="M245" s="44">
        <f t="shared" si="203"/>
        <v>212.99499999999992</v>
      </c>
      <c r="N245" s="44">
        <f t="shared" si="203"/>
        <v>251.851</v>
      </c>
      <c r="O245" s="44">
        <f t="shared" si="203"/>
        <v>261.69699999999995</v>
      </c>
      <c r="P245" s="45">
        <f t="shared" si="203"/>
        <v>881.67100000000039</v>
      </c>
      <c r="Q245" s="44">
        <f t="shared" si="203"/>
        <v>260.07300000000004</v>
      </c>
      <c r="R245" s="44">
        <f t="shared" si="203"/>
        <v>213.37000000000006</v>
      </c>
      <c r="S245" s="44">
        <f t="shared" si="203"/>
        <v>231.49599999999992</v>
      </c>
      <c r="T245" s="44">
        <f t="shared" si="203"/>
        <v>218.56400000000002</v>
      </c>
      <c r="U245" s="45">
        <f t="shared" si="203"/>
        <v>923.50299999999982</v>
      </c>
      <c r="V245" s="44">
        <f t="shared" si="203"/>
        <v>252.46800000000005</v>
      </c>
      <c r="W245" s="44">
        <f t="shared" si="203"/>
        <v>274.77600000000007</v>
      </c>
      <c r="X245" s="44">
        <f t="shared" si="203"/>
        <v>636.7349999999999</v>
      </c>
      <c r="Y245" s="44">
        <f t="shared" si="203"/>
        <v>435.27800000000002</v>
      </c>
      <c r="Z245" s="45">
        <f t="shared" si="203"/>
        <v>1599.2569999999992</v>
      </c>
      <c r="AA245" s="44">
        <f t="shared" si="203"/>
        <v>667.94600000000014</v>
      </c>
      <c r="AB245" s="44">
        <f t="shared" si="203"/>
        <v>666.61500000000024</v>
      </c>
      <c r="AC245" s="44">
        <f t="shared" si="203"/>
        <v>449.14000000000016</v>
      </c>
      <c r="AD245" s="44">
        <f t="shared" si="203"/>
        <v>438.78599999999983</v>
      </c>
      <c r="AE245" s="45">
        <f t="shared" si="203"/>
        <v>2222.487000000001</v>
      </c>
      <c r="AF245" s="44">
        <f t="shared" si="203"/>
        <v>456.52599999999995</v>
      </c>
      <c r="AG245" s="44">
        <f t="shared" si="203"/>
        <v>618.92999999999984</v>
      </c>
      <c r="AH245" s="44">
        <f t="shared" si="203"/>
        <v>1523.6650000000004</v>
      </c>
      <c r="AI245" s="44">
        <f t="shared" ref="AI245:BG245" si="204">SUM(AI241:AI244)</f>
        <v>1442.9000000000015</v>
      </c>
      <c r="AJ245" s="45">
        <f t="shared" si="204"/>
        <v>4042.0210000000006</v>
      </c>
      <c r="AK245" s="44">
        <f t="shared" si="204"/>
        <v>565.74300000000017</v>
      </c>
      <c r="AL245" s="44">
        <f t="shared" si="204"/>
        <v>921.04600000000005</v>
      </c>
      <c r="AM245" s="44">
        <f t="shared" si="204"/>
        <v>1191</v>
      </c>
      <c r="AN245" s="44">
        <f t="shared" si="204"/>
        <v>1391.211</v>
      </c>
      <c r="AO245" s="45">
        <f t="shared" si="204"/>
        <v>4069</v>
      </c>
      <c r="AP245" s="44">
        <f t="shared" si="204"/>
        <v>1234</v>
      </c>
      <c r="AQ245" s="44">
        <f t="shared" si="204"/>
        <v>1267</v>
      </c>
      <c r="AR245" s="44">
        <f t="shared" si="204"/>
        <v>2063</v>
      </c>
      <c r="AS245" s="44">
        <f t="shared" si="204"/>
        <v>2066</v>
      </c>
      <c r="AT245" s="45">
        <f t="shared" si="204"/>
        <v>6630</v>
      </c>
      <c r="AU245" s="44">
        <f t="shared" si="204"/>
        <v>2215</v>
      </c>
      <c r="AV245" s="44">
        <f t="shared" si="204"/>
        <v>2884</v>
      </c>
      <c r="AW245" s="729">
        <f t="shared" si="204"/>
        <v>3660</v>
      </c>
      <c r="AX245" s="44">
        <f t="shared" si="204"/>
        <v>4659.4251269398883</v>
      </c>
      <c r="AY245" s="45">
        <f t="shared" si="204"/>
        <v>13418.425126939886</v>
      </c>
      <c r="AZ245" s="44">
        <f t="shared" si="204"/>
        <v>5958.8731500246859</v>
      </c>
      <c r="BA245" s="44">
        <f t="shared" si="204"/>
        <v>6910.6087651192056</v>
      </c>
      <c r="BB245" s="44">
        <f t="shared" si="204"/>
        <v>8511.7319837402538</v>
      </c>
      <c r="BC245" s="44">
        <f t="shared" si="204"/>
        <v>9345.4434079909133</v>
      </c>
      <c r="BD245" s="45">
        <f t="shared" si="204"/>
        <v>30726.657306875062</v>
      </c>
      <c r="BE245" s="45">
        <f t="shared" si="204"/>
        <v>37788.434838305366</v>
      </c>
      <c r="BF245" s="45">
        <f t="shared" si="204"/>
        <v>46122.49497330172</v>
      </c>
      <c r="BG245" s="45">
        <f t="shared" si="204"/>
        <v>56119.045945790051</v>
      </c>
      <c r="BH245" s="368"/>
    </row>
    <row r="246" spans="1:60" s="120" customFormat="1" x14ac:dyDescent="0.25">
      <c r="A246" s="678" t="s">
        <v>679</v>
      </c>
      <c r="B246" s="639"/>
      <c r="C246" s="100">
        <f t="shared" ref="C246:AH246" si="205">C245/C228</f>
        <v>8.5177277721697614E-2</v>
      </c>
      <c r="D246" s="100">
        <f t="shared" si="205"/>
        <v>0.263234084835195</v>
      </c>
      <c r="E246" s="100">
        <f t="shared" si="205"/>
        <v>0.30157851959929893</v>
      </c>
      <c r="F246" s="100">
        <f t="shared" si="205"/>
        <v>7.2756354414696925E-2</v>
      </c>
      <c r="G246" s="1005">
        <f t="shared" si="205"/>
        <v>0.17145135566188197</v>
      </c>
      <c r="H246" s="1005">
        <f t="shared" si="205"/>
        <v>0.24802104956570467</v>
      </c>
      <c r="I246" s="1005">
        <f t="shared" si="205"/>
        <v>0.23848140471918147</v>
      </c>
      <c r="J246" s="1005">
        <f t="shared" si="205"/>
        <v>0.25452887508350702</v>
      </c>
      <c r="K246" s="100">
        <f t="shared" si="205"/>
        <v>0.22660189044328874</v>
      </c>
      <c r="L246" s="1005">
        <f t="shared" si="205"/>
        <v>0.24998791379149188</v>
      </c>
      <c r="M246" s="1005">
        <f t="shared" si="205"/>
        <v>0.27685094800929089</v>
      </c>
      <c r="N246" s="1005">
        <f t="shared" si="205"/>
        <v>0.29566778272936028</v>
      </c>
      <c r="O246" s="1005">
        <f t="shared" si="205"/>
        <v>0.27355249142590737</v>
      </c>
      <c r="P246" s="100">
        <f t="shared" si="205"/>
        <v>0.27566380978227573</v>
      </c>
      <c r="Q246" s="1005">
        <f t="shared" si="205"/>
        <v>0.27670872877388603</v>
      </c>
      <c r="R246" s="1005">
        <f t="shared" si="205"/>
        <v>0.22342969875682747</v>
      </c>
      <c r="S246" s="1005">
        <f t="shared" si="205"/>
        <v>0.24711647980495066</v>
      </c>
      <c r="T246" s="1005">
        <f t="shared" si="205"/>
        <v>0.17997990744248094</v>
      </c>
      <c r="U246" s="100">
        <f t="shared" si="205"/>
        <v>0.22824945471172317</v>
      </c>
      <c r="V246" s="1005">
        <f t="shared" si="205"/>
        <v>0.22010238455583381</v>
      </c>
      <c r="W246" s="1005">
        <f t="shared" si="205"/>
        <v>0.21635615901204477</v>
      </c>
      <c r="X246" s="1005">
        <f t="shared" si="205"/>
        <v>0.27702968453330873</v>
      </c>
      <c r="Y246" s="1005">
        <f t="shared" si="205"/>
        <v>0.1905244216680943</v>
      </c>
      <c r="Z246" s="100">
        <f t="shared" si="205"/>
        <v>0.22846097759299386</v>
      </c>
      <c r="AA246" s="1005">
        <f t="shared" si="205"/>
        <v>0.24772964131930414</v>
      </c>
      <c r="AB246" s="1005">
        <f t="shared" si="205"/>
        <v>0.23896805119952749</v>
      </c>
      <c r="AC246" s="1005">
        <f t="shared" si="205"/>
        <v>0.15048204578387936</v>
      </c>
      <c r="AD246" s="1005">
        <f t="shared" si="205"/>
        <v>0.13344062447825572</v>
      </c>
      <c r="AE246" s="100">
        <f t="shared" si="205"/>
        <v>0.18900706376042839</v>
      </c>
      <c r="AF246" s="1005">
        <f t="shared" si="205"/>
        <v>0.13392764681257152</v>
      </c>
      <c r="AG246" s="1005">
        <f t="shared" si="205"/>
        <v>0.15464624605626209</v>
      </c>
      <c r="AH246" s="1005">
        <f t="shared" si="205"/>
        <v>0.22326682162993364</v>
      </c>
      <c r="AI246" s="1005">
        <f t="shared" ref="AI246:BG246" si="206">AI245/AI228</f>
        <v>0.1996852145062612</v>
      </c>
      <c r="AJ246" s="100">
        <f t="shared" si="206"/>
        <v>0.18834026954977687</v>
      </c>
      <c r="AK246" s="1005">
        <f t="shared" si="206"/>
        <v>0.12457282497450166</v>
      </c>
      <c r="AL246" s="1005">
        <f t="shared" si="206"/>
        <v>0.14505401535448426</v>
      </c>
      <c r="AM246" s="1005">
        <f t="shared" si="206"/>
        <v>0.18895763921941933</v>
      </c>
      <c r="AN246" s="1005">
        <f t="shared" si="206"/>
        <v>0.18841242927141089</v>
      </c>
      <c r="AO246" s="100">
        <f t="shared" si="206"/>
        <v>0.1655545609895028</v>
      </c>
      <c r="AP246" s="1005">
        <f t="shared" si="206"/>
        <v>0.20618212197159566</v>
      </c>
      <c r="AQ246" s="1005">
        <f t="shared" si="206"/>
        <v>0.20990722332670642</v>
      </c>
      <c r="AR246" s="1005">
        <f t="shared" si="206"/>
        <v>0.23520693193478509</v>
      </c>
      <c r="AS246" s="1005">
        <f t="shared" si="206"/>
        <v>0.19229337304542071</v>
      </c>
      <c r="AT246" s="100">
        <f t="shared" si="206"/>
        <v>0.2102359208523592</v>
      </c>
      <c r="AU246" s="1005">
        <f t="shared" si="206"/>
        <v>0.21320627586870727</v>
      </c>
      <c r="AV246" s="1005">
        <f t="shared" si="206"/>
        <v>0.24117745442381669</v>
      </c>
      <c r="AW246" s="727">
        <f t="shared" si="206"/>
        <v>0.26604637639020134</v>
      </c>
      <c r="AX246" s="1005">
        <f t="shared" si="206"/>
        <v>0.27572111311665404</v>
      </c>
      <c r="AY246" s="100">
        <f t="shared" si="206"/>
        <v>0.2531632594179799</v>
      </c>
      <c r="AZ246" s="1005">
        <f t="shared" si="206"/>
        <v>0.27840239698396424</v>
      </c>
      <c r="BA246" s="1005">
        <f t="shared" si="206"/>
        <v>0.27395105672614906</v>
      </c>
      <c r="BB246" s="1005">
        <f t="shared" si="206"/>
        <v>0.28193058983796537</v>
      </c>
      <c r="BC246" s="1005">
        <f t="shared" si="206"/>
        <v>0.27406568344901705</v>
      </c>
      <c r="BD246" s="100">
        <f t="shared" si="206"/>
        <v>0.27701718037638412</v>
      </c>
      <c r="BE246" s="100">
        <f t="shared" si="206"/>
        <v>0.2763236843670856</v>
      </c>
      <c r="BF246" s="100">
        <f t="shared" si="206"/>
        <v>0.27522698410395646</v>
      </c>
      <c r="BG246" s="100">
        <f t="shared" si="206"/>
        <v>0.27313656872965741</v>
      </c>
      <c r="BH246" s="366"/>
    </row>
    <row r="247" spans="1:60" s="114" customFormat="1" hidden="1" outlineLevel="1" x14ac:dyDescent="0.25">
      <c r="A247" s="635"/>
      <c r="B247" s="642"/>
      <c r="C247" s="252"/>
      <c r="D247" s="252"/>
      <c r="E247" s="252"/>
      <c r="F247" s="252"/>
      <c r="G247" s="370"/>
      <c r="H247" s="370"/>
      <c r="I247" s="370"/>
      <c r="J247" s="370"/>
      <c r="K247" s="252"/>
      <c r="L247" s="370"/>
      <c r="M247" s="370"/>
      <c r="N247" s="370"/>
      <c r="O247" s="370"/>
      <c r="P247" s="252"/>
      <c r="Q247" s="370"/>
      <c r="R247" s="370"/>
      <c r="S247" s="370"/>
      <c r="T247" s="370"/>
      <c r="U247" s="252"/>
      <c r="V247" s="370"/>
      <c r="W247" s="370"/>
      <c r="X247" s="370"/>
      <c r="Y247" s="370"/>
      <c r="Z247" s="252"/>
      <c r="AA247" s="370"/>
      <c r="AB247" s="370"/>
      <c r="AC247" s="370"/>
      <c r="AD247" s="370"/>
      <c r="AE247" s="252"/>
      <c r="AF247" s="370"/>
      <c r="AG247" s="370"/>
      <c r="AH247" s="370"/>
      <c r="AI247" s="370"/>
      <c r="AJ247" s="252"/>
      <c r="AK247" s="370"/>
      <c r="AL247" s="370"/>
      <c r="AM247" s="370"/>
      <c r="AN247" s="370"/>
      <c r="AO247" s="252"/>
      <c r="AP247" s="370"/>
      <c r="AQ247" s="370"/>
      <c r="AR247" s="370"/>
      <c r="AS247" s="370"/>
      <c r="AT247" s="252"/>
      <c r="AU247" s="370"/>
      <c r="AV247" s="370"/>
      <c r="AW247" s="728"/>
      <c r="AX247" s="370"/>
      <c r="AY247" s="252"/>
      <c r="AZ247" s="370"/>
      <c r="BA247" s="370"/>
      <c r="BB247" s="370"/>
      <c r="BC247" s="370"/>
      <c r="BD247" s="252"/>
      <c r="BE247" s="252"/>
      <c r="BF247" s="252"/>
      <c r="BG247" s="252"/>
      <c r="BH247" s="365"/>
    </row>
    <row r="248" spans="1:60" s="120" customFormat="1" hidden="1" outlineLevel="1" x14ac:dyDescent="0.25">
      <c r="A248" s="222" t="s">
        <v>662</v>
      </c>
      <c r="B248" s="639"/>
      <c r="C248" s="100">
        <f t="shared" ref="C248:AH248" si="207">C241/C$245</f>
        <v>1</v>
      </c>
      <c r="D248" s="100">
        <f t="shared" si="207"/>
        <v>0.55631121668673333</v>
      </c>
      <c r="E248" s="100">
        <f t="shared" si="207"/>
        <v>0.53715398977189721</v>
      </c>
      <c r="F248" s="100">
        <f t="shared" si="207"/>
        <v>0.46699038813316923</v>
      </c>
      <c r="G248" s="1005">
        <f t="shared" si="207"/>
        <v>0.96952865448504977</v>
      </c>
      <c r="H248" s="1005">
        <f t="shared" si="207"/>
        <v>0.97465242876904556</v>
      </c>
      <c r="I248" s="1005">
        <f t="shared" si="207"/>
        <v>1.0237683244546407</v>
      </c>
      <c r="J248" s="1005">
        <f t="shared" si="207"/>
        <v>1.0043616810672389</v>
      </c>
      <c r="K248" s="100">
        <f t="shared" si="207"/>
        <v>0.99484068364229328</v>
      </c>
      <c r="L248" s="1005">
        <f t="shared" si="207"/>
        <v>0.98381336702593991</v>
      </c>
      <c r="M248" s="1005">
        <f t="shared" si="207"/>
        <v>0.97663325430174419</v>
      </c>
      <c r="N248" s="1005">
        <f t="shared" si="207"/>
        <v>0.98045272800187411</v>
      </c>
      <c r="O248" s="1005">
        <f t="shared" si="207"/>
        <v>0.9694379377677238</v>
      </c>
      <c r="P248" s="100">
        <f t="shared" si="207"/>
        <v>0.97685304382246896</v>
      </c>
      <c r="Q248" s="1005">
        <f t="shared" si="207"/>
        <v>1.0057753015499495</v>
      </c>
      <c r="R248" s="1005">
        <f t="shared" si="207"/>
        <v>0.99219196700567092</v>
      </c>
      <c r="S248" s="1005">
        <f t="shared" si="207"/>
        <v>0.96686767805923202</v>
      </c>
      <c r="T248" s="1005">
        <f t="shared" si="207"/>
        <v>1.0091597884372541</v>
      </c>
      <c r="U248" s="100">
        <f t="shared" si="207"/>
        <v>0.99368491493801325</v>
      </c>
      <c r="V248" s="1005">
        <f t="shared" si="207"/>
        <v>0.97734366335535594</v>
      </c>
      <c r="W248" s="1005">
        <f t="shared" si="207"/>
        <v>0.99197164235595536</v>
      </c>
      <c r="X248" s="1005">
        <f t="shared" si="207"/>
        <v>0.883161754890182</v>
      </c>
      <c r="Y248" s="1005">
        <f t="shared" si="207"/>
        <v>0.84278323278456524</v>
      </c>
      <c r="Z248" s="100">
        <f t="shared" si="207"/>
        <v>0.82595855450374756</v>
      </c>
      <c r="AA248" s="1005">
        <f t="shared" si="207"/>
        <v>0.80606965233716488</v>
      </c>
      <c r="AB248" s="1005">
        <f t="shared" si="207"/>
        <v>0.81197392797941825</v>
      </c>
      <c r="AC248" s="1005">
        <f t="shared" si="207"/>
        <v>0.71494188894331401</v>
      </c>
      <c r="AD248" s="1005">
        <f t="shared" si="207"/>
        <v>0.93320662008359423</v>
      </c>
      <c r="AE248" s="100">
        <f t="shared" si="207"/>
        <v>0.81452534930463039</v>
      </c>
      <c r="AF248" s="1005">
        <f t="shared" si="207"/>
        <v>1.0305743813057744</v>
      </c>
      <c r="AG248" s="1005">
        <f t="shared" si="207"/>
        <v>0.95023023605254209</v>
      </c>
      <c r="AH248" s="1005">
        <f t="shared" si="207"/>
        <v>0.966344964280206</v>
      </c>
      <c r="AI248" s="1005">
        <f t="shared" ref="AI248:BG248" si="208">AI241/AI$245</f>
        <v>0.98063206043384854</v>
      </c>
      <c r="AJ248" s="100">
        <f t="shared" si="208"/>
        <v>0.97623193941842457</v>
      </c>
      <c r="AK248" s="1005">
        <f t="shared" si="208"/>
        <v>1.1534071124167686</v>
      </c>
      <c r="AL248" s="1005">
        <f t="shared" si="208"/>
        <v>0.99263663269804125</v>
      </c>
      <c r="AM248" s="1005">
        <f t="shared" si="208"/>
        <v>0.93870696893366923</v>
      </c>
      <c r="AN248" s="1005">
        <f t="shared" si="208"/>
        <v>0.95471068011969407</v>
      </c>
      <c r="AO248" s="100">
        <f t="shared" si="208"/>
        <v>0.98623740476775623</v>
      </c>
      <c r="AP248" s="1005">
        <f t="shared" si="208"/>
        <v>0.96758508914100483</v>
      </c>
      <c r="AQ248" s="1005">
        <f t="shared" si="208"/>
        <v>0.94475138121546964</v>
      </c>
      <c r="AR248" s="1005">
        <f t="shared" si="208"/>
        <v>0.96219098400387781</v>
      </c>
      <c r="AS248" s="1005">
        <f t="shared" si="208"/>
        <v>1.0222652468538238</v>
      </c>
      <c r="AT248" s="100">
        <f t="shared" si="208"/>
        <v>0.97858220211161384</v>
      </c>
      <c r="AU248" s="1005">
        <f t="shared" si="208"/>
        <v>1.0148984198645599</v>
      </c>
      <c r="AV248" s="1005">
        <f t="shared" si="208"/>
        <v>0.95527045769764218</v>
      </c>
      <c r="AW248" s="727">
        <f t="shared" si="208"/>
        <v>0.96229508196721314</v>
      </c>
      <c r="AX248" s="1005">
        <f t="shared" si="208"/>
        <v>0.96007468672545104</v>
      </c>
      <c r="AY248" s="100">
        <f t="shared" si="208"/>
        <v>0.96869759275780465</v>
      </c>
      <c r="AZ248" s="1005">
        <f t="shared" si="208"/>
        <v>0.9640598382279788</v>
      </c>
      <c r="BA248" s="1005">
        <f t="shared" si="208"/>
        <v>0.9664642254191369</v>
      </c>
      <c r="BB248" s="1005">
        <f t="shared" si="208"/>
        <v>0.96875531485775923</v>
      </c>
      <c r="BC248" s="1005">
        <f t="shared" si="208"/>
        <v>0.9633733109124305</v>
      </c>
      <c r="BD248" s="100">
        <f t="shared" si="208"/>
        <v>0.96569250901055159</v>
      </c>
      <c r="BE248" s="100">
        <f t="shared" si="208"/>
        <v>0.95016457448985936</v>
      </c>
      <c r="BF248" s="100">
        <f t="shared" si="208"/>
        <v>0.94129798119401009</v>
      </c>
      <c r="BG248" s="100">
        <f t="shared" si="208"/>
        <v>0.93549217354811531</v>
      </c>
      <c r="BH248" s="366"/>
    </row>
    <row r="249" spans="1:60" s="120" customFormat="1" hidden="1" outlineLevel="1" x14ac:dyDescent="0.25">
      <c r="A249" s="222" t="s">
        <v>659</v>
      </c>
      <c r="B249" s="639"/>
      <c r="C249" s="100"/>
      <c r="D249" s="100"/>
      <c r="E249" s="100"/>
      <c r="F249" s="100"/>
      <c r="G249" s="1005"/>
      <c r="H249" s="1005"/>
      <c r="I249" s="1005"/>
      <c r="J249" s="1005"/>
      <c r="K249" s="100"/>
      <c r="L249" s="1005"/>
      <c r="M249" s="1005"/>
      <c r="N249" s="1005"/>
      <c r="O249" s="1005"/>
      <c r="P249" s="100"/>
      <c r="Q249" s="1005"/>
      <c r="R249" s="1005"/>
      <c r="S249" s="1005"/>
      <c r="T249" s="1005"/>
      <c r="U249" s="100"/>
      <c r="V249" s="1005"/>
      <c r="W249" s="1005"/>
      <c r="X249" s="1005">
        <f t="shared" ref="X249:BG249" si="209">X242/X$245</f>
        <v>0.10887731945000668</v>
      </c>
      <c r="Y249" s="1005">
        <f t="shared" si="209"/>
        <v>0.19035191303029325</v>
      </c>
      <c r="Z249" s="100">
        <f t="shared" si="209"/>
        <v>0.17493436014349173</v>
      </c>
      <c r="AA249" s="1005">
        <f t="shared" si="209"/>
        <v>0.13251670045183286</v>
      </c>
      <c r="AB249" s="1005">
        <f t="shared" si="209"/>
        <v>0.14600781560570941</v>
      </c>
      <c r="AC249" s="1005">
        <f t="shared" si="209"/>
        <v>0.24699202921138172</v>
      </c>
      <c r="AD249" s="1005">
        <f t="shared" si="209"/>
        <v>0.23142260692000213</v>
      </c>
      <c r="AE249" s="100">
        <f t="shared" si="209"/>
        <v>0.17922444540732962</v>
      </c>
      <c r="AF249" s="1005">
        <f t="shared" si="209"/>
        <v>0.15101001914458326</v>
      </c>
      <c r="AG249" s="1005">
        <f t="shared" si="209"/>
        <v>0.16625628100108258</v>
      </c>
      <c r="AH249" s="1005">
        <f t="shared" si="209"/>
        <v>6.6404360538569823E-2</v>
      </c>
      <c r="AI249" s="1005">
        <f t="shared" si="209"/>
        <v>8.4563725829925801E-2</v>
      </c>
      <c r="AJ249" s="100">
        <f t="shared" si="209"/>
        <v>9.7732297778759664E-2</v>
      </c>
      <c r="AK249" s="1005">
        <f t="shared" si="209"/>
        <v>0.17327302326321312</v>
      </c>
      <c r="AL249" s="1005">
        <f t="shared" si="209"/>
        <v>0.11078708338128604</v>
      </c>
      <c r="AM249" s="1005">
        <f t="shared" si="209"/>
        <v>8.7321578505457603E-2</v>
      </c>
      <c r="AN249" s="1005">
        <f t="shared" si="209"/>
        <v>7.6143733768637548E-2</v>
      </c>
      <c r="AO249" s="100">
        <f t="shared" si="209"/>
        <v>0.10076185795035636</v>
      </c>
      <c r="AP249" s="1005">
        <f t="shared" si="209"/>
        <v>9.4813614262560783E-2</v>
      </c>
      <c r="AQ249" s="1005">
        <f t="shared" si="209"/>
        <v>9.4711917916337804E-2</v>
      </c>
      <c r="AR249" s="1005">
        <f t="shared" si="209"/>
        <v>5.8167716917111006E-2</v>
      </c>
      <c r="AS249" s="1005">
        <f t="shared" si="209"/>
        <v>6.3891577928363988E-2</v>
      </c>
      <c r="AT249" s="100">
        <f t="shared" si="209"/>
        <v>7.3755656108597287E-2</v>
      </c>
      <c r="AU249" s="1005">
        <f t="shared" si="209"/>
        <v>6.1851015801354402E-2</v>
      </c>
      <c r="AV249" s="1005">
        <f t="shared" si="209"/>
        <v>4.9930651872399444E-2</v>
      </c>
      <c r="AW249" s="727">
        <f t="shared" si="209"/>
        <v>4.1256830601092899E-2</v>
      </c>
      <c r="AX249" s="1005">
        <f t="shared" si="209"/>
        <v>4.4014464717403057E-2</v>
      </c>
      <c r="AY249" s="100">
        <f t="shared" si="209"/>
        <v>4.7478157594964022E-2</v>
      </c>
      <c r="AZ249" s="1005">
        <f t="shared" si="209"/>
        <v>3.9459792384611607E-2</v>
      </c>
      <c r="BA249" s="1005">
        <f t="shared" si="209"/>
        <v>3.7221222614711696E-2</v>
      </c>
      <c r="BB249" s="1005">
        <f t="shared" si="209"/>
        <v>3.6287738143235035E-2</v>
      </c>
      <c r="BC249" s="1005">
        <f t="shared" si="209"/>
        <v>4.0440593533863985E-2</v>
      </c>
      <c r="BD249" s="100">
        <f t="shared" si="209"/>
        <v>3.8375927861170486E-2</v>
      </c>
      <c r="BE249" s="100">
        <f t="shared" si="209"/>
        <v>5.1421995985496863E-2</v>
      </c>
      <c r="BF249" s="100">
        <f t="shared" si="209"/>
        <v>5.8598453111300401E-2</v>
      </c>
      <c r="BG249" s="100">
        <f t="shared" si="209"/>
        <v>6.2347977939558992E-2</v>
      </c>
      <c r="BH249" s="366"/>
    </row>
    <row r="250" spans="1:60" s="120" customFormat="1" hidden="1" outlineLevel="1" x14ac:dyDescent="0.25">
      <c r="A250" s="222" t="s">
        <v>660</v>
      </c>
      <c r="B250" s="639"/>
      <c r="C250" s="100">
        <f t="shared" ref="C250:W250" si="210">C243/C$245</f>
        <v>0</v>
      </c>
      <c r="D250" s="100">
        <f t="shared" si="210"/>
        <v>0.44368878331326672</v>
      </c>
      <c r="E250" s="100">
        <f t="shared" si="210"/>
        <v>0.46284601022810284</v>
      </c>
      <c r="F250" s="100">
        <f t="shared" si="210"/>
        <v>0.53300961186683071</v>
      </c>
      <c r="G250" s="1005">
        <f t="shared" si="210"/>
        <v>3.0471345514950173E-2</v>
      </c>
      <c r="H250" s="1005">
        <f t="shared" si="210"/>
        <v>2.5347571230954484E-2</v>
      </c>
      <c r="I250" s="1005">
        <f t="shared" si="210"/>
        <v>-2.3768324454640891E-2</v>
      </c>
      <c r="J250" s="1005">
        <f t="shared" si="210"/>
        <v>-4.3616810672388534E-3</v>
      </c>
      <c r="K250" s="100">
        <f t="shared" si="210"/>
        <v>5.1593163577067572E-3</v>
      </c>
      <c r="L250" s="1005">
        <f t="shared" si="210"/>
        <v>1.6186632974060131E-2</v>
      </c>
      <c r="M250" s="1005">
        <f t="shared" si="210"/>
        <v>2.3366745698255854E-2</v>
      </c>
      <c r="N250" s="1005">
        <f t="shared" si="210"/>
        <v>1.9547271998125882E-2</v>
      </c>
      <c r="O250" s="1005">
        <f t="shared" si="210"/>
        <v>3.0562062232276255E-2</v>
      </c>
      <c r="P250" s="100">
        <f t="shared" si="210"/>
        <v>2.3146956177531049E-2</v>
      </c>
      <c r="Q250" s="1005">
        <f t="shared" si="210"/>
        <v>-5.7753015499494185E-3</v>
      </c>
      <c r="R250" s="1005">
        <f t="shared" si="210"/>
        <v>7.808032994329083E-3</v>
      </c>
      <c r="S250" s="1005">
        <f t="shared" si="210"/>
        <v>3.3132321940767893E-2</v>
      </c>
      <c r="T250" s="1005">
        <f t="shared" si="210"/>
        <v>-9.1597884372540544E-3</v>
      </c>
      <c r="U250" s="100">
        <f t="shared" si="210"/>
        <v>6.3150850619867992E-3</v>
      </c>
      <c r="V250" s="1005">
        <f t="shared" si="210"/>
        <v>2.2656336644644066E-2</v>
      </c>
      <c r="W250" s="1005">
        <f t="shared" si="210"/>
        <v>8.0283576440446126E-3</v>
      </c>
      <c r="X250" s="1005">
        <f t="shared" ref="X250:BG250" si="211">X243/X$245</f>
        <v>7.9609256598114093E-3</v>
      </c>
      <c r="Y250" s="1005">
        <f t="shared" si="211"/>
        <v>-4.1419506614163812E-2</v>
      </c>
      <c r="Z250" s="100">
        <f t="shared" si="211"/>
        <v>-2.8075537577762744E-3</v>
      </c>
      <c r="AA250" s="1005">
        <f t="shared" si="211"/>
        <v>-3.1664236330481807E-2</v>
      </c>
      <c r="AB250" s="1005">
        <f t="shared" si="211"/>
        <v>-8.251839517562605E-2</v>
      </c>
      <c r="AC250" s="1005">
        <f t="shared" si="211"/>
        <v>-0.14053524513514712</v>
      </c>
      <c r="AD250" s="1005">
        <f t="shared" si="211"/>
        <v>-0.20182731445397087</v>
      </c>
      <c r="AE250" s="100">
        <f t="shared" si="211"/>
        <v>-0.10251443540502145</v>
      </c>
      <c r="AF250" s="1005">
        <f t="shared" si="211"/>
        <v>-0.25750340615868544</v>
      </c>
      <c r="AG250" s="1005">
        <f t="shared" si="211"/>
        <v>-0.1877950656778635</v>
      </c>
      <c r="AH250" s="1005">
        <f t="shared" si="211"/>
        <v>-7.7879323867123026E-2</v>
      </c>
      <c r="AI250" s="1005">
        <f t="shared" si="211"/>
        <v>-9.4852034097997043E-2</v>
      </c>
      <c r="AJ250" s="100">
        <f t="shared" si="211"/>
        <v>-0.12105652098294394</v>
      </c>
      <c r="AK250" s="1005">
        <f t="shared" si="211"/>
        <v>-0.34042135740079849</v>
      </c>
      <c r="AL250" s="1005">
        <f t="shared" si="211"/>
        <v>-0.14976776404218692</v>
      </c>
      <c r="AM250" s="1005">
        <f t="shared" si="211"/>
        <v>-9.9916036943744749E-2</v>
      </c>
      <c r="AN250" s="1005">
        <f t="shared" si="211"/>
        <v>-6.7901993299362695E-2</v>
      </c>
      <c r="AO250" s="100">
        <f t="shared" si="211"/>
        <v>-0.13369378225608258</v>
      </c>
      <c r="AP250" s="1005">
        <f t="shared" si="211"/>
        <v>-7.1312803889789306E-2</v>
      </c>
      <c r="AQ250" s="1005">
        <f t="shared" si="211"/>
        <v>-5.6037884767166535E-2</v>
      </c>
      <c r="AR250" s="1005">
        <f t="shared" si="211"/>
        <v>-3.0538051381483276E-2</v>
      </c>
      <c r="AS250" s="1005">
        <f t="shared" si="211"/>
        <v>-6.921587608906099E-2</v>
      </c>
      <c r="AT250" s="100">
        <f t="shared" si="211"/>
        <v>-5.5052790346907993E-2</v>
      </c>
      <c r="AU250" s="1005">
        <f t="shared" si="211"/>
        <v>-3.1151241534988713E-2</v>
      </c>
      <c r="AV250" s="1005">
        <f t="shared" si="211"/>
        <v>-1.2135922330097087E-2</v>
      </c>
      <c r="AW250" s="727">
        <f t="shared" si="211"/>
        <v>-4.3715846994535519E-3</v>
      </c>
      <c r="AX250" s="1005">
        <f t="shared" si="211"/>
        <v>-6.9110150010997743E-3</v>
      </c>
      <c r="AY250" s="100">
        <f t="shared" si="211"/>
        <v>-1.1342713881021057E-2</v>
      </c>
      <c r="AZ250" s="1005">
        <f t="shared" si="211"/>
        <v>-5.6940166688207007E-3</v>
      </c>
      <c r="BA250" s="1005">
        <f t="shared" si="211"/>
        <v>-5.5873210962868371E-3</v>
      </c>
      <c r="BB250" s="1005">
        <f t="shared" si="211"/>
        <v>-6.4096361813020088E-3</v>
      </c>
      <c r="BC250" s="1005">
        <f t="shared" si="211"/>
        <v>-5.9981864418539458E-3</v>
      </c>
      <c r="BD250" s="100">
        <f t="shared" si="211"/>
        <v>-5.9607697832993614E-3</v>
      </c>
      <c r="BE250" s="100">
        <f t="shared" si="211"/>
        <v>-4.7813831670352001E-3</v>
      </c>
      <c r="BF250" s="100">
        <f t="shared" si="211"/>
        <v>-4.1865114099367924E-3</v>
      </c>
      <c r="BG250" s="100">
        <f t="shared" si="211"/>
        <v>-3.6021413063360053E-3</v>
      </c>
      <c r="BH250" s="366"/>
    </row>
    <row r="251" spans="1:60" s="120" customFormat="1" hidden="1" outlineLevel="1" x14ac:dyDescent="0.25">
      <c r="A251" s="222" t="s">
        <v>661</v>
      </c>
      <c r="B251" s="639"/>
      <c r="C251" s="100"/>
      <c r="D251" s="100"/>
      <c r="E251" s="100"/>
      <c r="F251" s="100"/>
      <c r="G251" s="1005"/>
      <c r="H251" s="1005"/>
      <c r="I251" s="1005"/>
      <c r="J251" s="1005"/>
      <c r="K251" s="100"/>
      <c r="L251" s="1005"/>
      <c r="M251" s="1005"/>
      <c r="N251" s="1005"/>
      <c r="O251" s="1005"/>
      <c r="P251" s="100"/>
      <c r="Q251" s="1005"/>
      <c r="R251" s="1005"/>
      <c r="S251" s="1005"/>
      <c r="T251" s="1005"/>
      <c r="U251" s="100"/>
      <c r="V251" s="1005"/>
      <c r="W251" s="1005"/>
      <c r="X251" s="1005"/>
      <c r="Y251" s="1005">
        <f t="shared" ref="Y251:BG251" si="212">Y244/Y$245</f>
        <v>8.2843607993052584E-3</v>
      </c>
      <c r="Z251" s="100">
        <f t="shared" si="212"/>
        <v>1.914639110536964E-3</v>
      </c>
      <c r="AA251" s="1005">
        <f t="shared" si="212"/>
        <v>9.3077883541483858E-2</v>
      </c>
      <c r="AB251" s="1005">
        <f t="shared" si="212"/>
        <v>0.12453665159049818</v>
      </c>
      <c r="AC251" s="1005">
        <f t="shared" si="212"/>
        <v>0.17860132698045142</v>
      </c>
      <c r="AD251" s="1005">
        <f t="shared" si="212"/>
        <v>3.7198087450374465E-2</v>
      </c>
      <c r="AE251" s="100">
        <f t="shared" si="212"/>
        <v>0.10876464069306141</v>
      </c>
      <c r="AF251" s="1005">
        <f t="shared" si="212"/>
        <v>7.5919005708327658E-2</v>
      </c>
      <c r="AG251" s="1005">
        <f t="shared" si="212"/>
        <v>7.1308548624238605E-2</v>
      </c>
      <c r="AH251" s="1005">
        <f t="shared" si="212"/>
        <v>4.5129999048347254E-2</v>
      </c>
      <c r="AI251" s="1005">
        <f t="shared" si="212"/>
        <v>2.9656247834222674E-2</v>
      </c>
      <c r="AJ251" s="100">
        <f t="shared" si="212"/>
        <v>4.709228378575963E-2</v>
      </c>
      <c r="AK251" s="1005">
        <f t="shared" si="212"/>
        <v>1.3741221720816694E-2</v>
      </c>
      <c r="AL251" s="1005">
        <f t="shared" si="212"/>
        <v>4.6344047962859618E-2</v>
      </c>
      <c r="AM251" s="1005">
        <f t="shared" si="212"/>
        <v>7.3887489504617973E-2</v>
      </c>
      <c r="AN251" s="1005">
        <f t="shared" si="212"/>
        <v>3.7047579411031067E-2</v>
      </c>
      <c r="AO251" s="100">
        <f t="shared" si="212"/>
        <v>4.669451953797002E-2</v>
      </c>
      <c r="AP251" s="1005">
        <f t="shared" si="212"/>
        <v>8.9141004862236632E-3</v>
      </c>
      <c r="AQ251" s="1005">
        <f t="shared" si="212"/>
        <v>1.6574585635359115E-2</v>
      </c>
      <c r="AR251" s="1005">
        <f t="shared" si="212"/>
        <v>1.0179350460494426E-2</v>
      </c>
      <c r="AS251" s="1005">
        <f t="shared" si="212"/>
        <v>-1.6940948693126814E-2</v>
      </c>
      <c r="AT251" s="100">
        <f t="shared" si="212"/>
        <v>2.7149321266968325E-3</v>
      </c>
      <c r="AU251" s="1005">
        <f t="shared" si="212"/>
        <v>-4.5598194130925508E-2</v>
      </c>
      <c r="AV251" s="1005">
        <f t="shared" si="212"/>
        <v>6.9348127600554789E-3</v>
      </c>
      <c r="AW251" s="727">
        <f t="shared" si="212"/>
        <v>8.1967213114754098E-4</v>
      </c>
      <c r="AX251" s="1005">
        <f t="shared" si="212"/>
        <v>2.8218635582455049E-3</v>
      </c>
      <c r="AY251" s="100">
        <f t="shared" si="212"/>
        <v>-4.8330364717475999E-3</v>
      </c>
      <c r="AZ251" s="1005">
        <f t="shared" si="212"/>
        <v>2.1743860562303536E-3</v>
      </c>
      <c r="BA251" s="1005">
        <f t="shared" si="212"/>
        <v>1.901873062438371E-3</v>
      </c>
      <c r="BB251" s="1005">
        <f t="shared" si="212"/>
        <v>1.3665831803078724E-3</v>
      </c>
      <c r="BC251" s="1005">
        <f t="shared" si="212"/>
        <v>2.1842819955596045E-3</v>
      </c>
      <c r="BD251" s="100">
        <f t="shared" si="212"/>
        <v>1.8923329115771944E-3</v>
      </c>
      <c r="BE251" s="100">
        <f t="shared" si="212"/>
        <v>3.1948126916789359E-3</v>
      </c>
      <c r="BF251" s="100">
        <f t="shared" si="212"/>
        <v>4.2900771046263568E-3</v>
      </c>
      <c r="BG251" s="100">
        <f t="shared" si="212"/>
        <v>5.7619898186616822E-3</v>
      </c>
      <c r="BH251" s="366"/>
    </row>
    <row r="252" spans="1:60" s="114" customFormat="1" hidden="1" outlineLevel="1" x14ac:dyDescent="0.25">
      <c r="A252" s="818" t="s">
        <v>663</v>
      </c>
      <c r="B252" s="640"/>
      <c r="C252" s="569">
        <f t="shared" ref="C252:AH252" si="213">SUM(C248:C251)</f>
        <v>1</v>
      </c>
      <c r="D252" s="569">
        <f t="shared" si="213"/>
        <v>1</v>
      </c>
      <c r="E252" s="569">
        <f t="shared" si="213"/>
        <v>1</v>
      </c>
      <c r="F252" s="569">
        <f t="shared" si="213"/>
        <v>1</v>
      </c>
      <c r="G252" s="568">
        <f t="shared" si="213"/>
        <v>0.99999999999999989</v>
      </c>
      <c r="H252" s="568">
        <f t="shared" si="213"/>
        <v>1</v>
      </c>
      <c r="I252" s="568">
        <f t="shared" si="213"/>
        <v>0.99999999999999978</v>
      </c>
      <c r="J252" s="568">
        <f t="shared" si="213"/>
        <v>1</v>
      </c>
      <c r="K252" s="569">
        <f t="shared" si="213"/>
        <v>1</v>
      </c>
      <c r="L252" s="568">
        <f t="shared" si="213"/>
        <v>1</v>
      </c>
      <c r="M252" s="568">
        <f t="shared" si="213"/>
        <v>1</v>
      </c>
      <c r="N252" s="568">
        <f t="shared" si="213"/>
        <v>1</v>
      </c>
      <c r="O252" s="568">
        <f t="shared" si="213"/>
        <v>1</v>
      </c>
      <c r="P252" s="569">
        <f t="shared" si="213"/>
        <v>1</v>
      </c>
      <c r="Q252" s="568">
        <f t="shared" si="213"/>
        <v>1.0000000000000002</v>
      </c>
      <c r="R252" s="568">
        <f t="shared" si="213"/>
        <v>1</v>
      </c>
      <c r="S252" s="568">
        <f t="shared" si="213"/>
        <v>0.99999999999999989</v>
      </c>
      <c r="T252" s="568">
        <f t="shared" si="213"/>
        <v>1</v>
      </c>
      <c r="U252" s="569">
        <f t="shared" si="213"/>
        <v>1</v>
      </c>
      <c r="V252" s="568">
        <f t="shared" si="213"/>
        <v>1</v>
      </c>
      <c r="W252" s="568">
        <f t="shared" si="213"/>
        <v>1</v>
      </c>
      <c r="X252" s="568">
        <f t="shared" si="213"/>
        <v>1</v>
      </c>
      <c r="Y252" s="568">
        <f t="shared" si="213"/>
        <v>1</v>
      </c>
      <c r="Z252" s="569">
        <f t="shared" si="213"/>
        <v>0.99999999999999978</v>
      </c>
      <c r="AA252" s="568">
        <f t="shared" si="213"/>
        <v>0.99999999999999978</v>
      </c>
      <c r="AB252" s="568">
        <f t="shared" si="213"/>
        <v>0.99999999999999978</v>
      </c>
      <c r="AC252" s="568">
        <f t="shared" si="213"/>
        <v>1</v>
      </c>
      <c r="AD252" s="568">
        <f t="shared" si="213"/>
        <v>0.99999999999999989</v>
      </c>
      <c r="AE252" s="569">
        <f t="shared" si="213"/>
        <v>1</v>
      </c>
      <c r="AF252" s="568">
        <f t="shared" si="213"/>
        <v>1</v>
      </c>
      <c r="AG252" s="568">
        <f t="shared" si="213"/>
        <v>0.99999999999999978</v>
      </c>
      <c r="AH252" s="568">
        <f t="shared" si="213"/>
        <v>1</v>
      </c>
      <c r="AI252" s="568">
        <f t="shared" ref="AI252:BG252" si="214">SUM(AI248:AI251)</f>
        <v>1</v>
      </c>
      <c r="AJ252" s="569">
        <f t="shared" si="214"/>
        <v>0.99999999999999989</v>
      </c>
      <c r="AK252" s="568">
        <f t="shared" si="214"/>
        <v>1</v>
      </c>
      <c r="AL252" s="568">
        <f t="shared" si="214"/>
        <v>0.99999999999999989</v>
      </c>
      <c r="AM252" s="568">
        <f t="shared" si="214"/>
        <v>1</v>
      </c>
      <c r="AN252" s="568">
        <f t="shared" si="214"/>
        <v>0.99999999999999989</v>
      </c>
      <c r="AO252" s="569">
        <f t="shared" si="214"/>
        <v>1</v>
      </c>
      <c r="AP252" s="568">
        <f t="shared" si="214"/>
        <v>0.99999999999999989</v>
      </c>
      <c r="AQ252" s="568">
        <f t="shared" si="214"/>
        <v>0.99999999999999989</v>
      </c>
      <c r="AR252" s="568">
        <f t="shared" si="214"/>
        <v>1</v>
      </c>
      <c r="AS252" s="568">
        <f t="shared" si="214"/>
        <v>0.99999999999999989</v>
      </c>
      <c r="AT252" s="569">
        <f t="shared" si="214"/>
        <v>1</v>
      </c>
      <c r="AU252" s="568">
        <f t="shared" si="214"/>
        <v>1</v>
      </c>
      <c r="AV252" s="568">
        <f t="shared" si="214"/>
        <v>1.0000000000000002</v>
      </c>
      <c r="AW252" s="819">
        <f t="shared" si="214"/>
        <v>1.0000000000000002</v>
      </c>
      <c r="AX252" s="568">
        <f t="shared" si="214"/>
        <v>0.99999999999999978</v>
      </c>
      <c r="AY252" s="569">
        <f t="shared" si="214"/>
        <v>0.99999999999999989</v>
      </c>
      <c r="AZ252" s="568">
        <f t="shared" si="214"/>
        <v>1</v>
      </c>
      <c r="BA252" s="568">
        <f t="shared" si="214"/>
        <v>1.0000000000000002</v>
      </c>
      <c r="BB252" s="568">
        <f t="shared" si="214"/>
        <v>1</v>
      </c>
      <c r="BC252" s="568">
        <f t="shared" si="214"/>
        <v>1.0000000000000002</v>
      </c>
      <c r="BD252" s="569">
        <f t="shared" si="214"/>
        <v>0.99999999999999989</v>
      </c>
      <c r="BE252" s="569">
        <f t="shared" si="214"/>
        <v>0.99999999999999989</v>
      </c>
      <c r="BF252" s="569">
        <f t="shared" si="214"/>
        <v>1</v>
      </c>
      <c r="BG252" s="569">
        <f t="shared" si="214"/>
        <v>1</v>
      </c>
      <c r="BH252" s="365"/>
    </row>
    <row r="253" spans="1:60" s="114" customFormat="1" collapsed="1" x14ac:dyDescent="0.25">
      <c r="A253" s="635"/>
      <c r="B253" s="642"/>
      <c r="C253" s="252"/>
      <c r="D253" s="252"/>
      <c r="E253" s="252"/>
      <c r="F253" s="252"/>
      <c r="G253" s="370"/>
      <c r="H253" s="370"/>
      <c r="I253" s="370"/>
      <c r="J253" s="370"/>
      <c r="K253" s="252"/>
      <c r="L253" s="370"/>
      <c r="M253" s="370"/>
      <c r="N253" s="370"/>
      <c r="O253" s="370"/>
      <c r="P253" s="252"/>
      <c r="Q253" s="370"/>
      <c r="R253" s="370"/>
      <c r="S253" s="370"/>
      <c r="T253" s="370"/>
      <c r="U253" s="252"/>
      <c r="V253" s="370"/>
      <c r="W253" s="370"/>
      <c r="X253" s="370"/>
      <c r="Y253" s="370"/>
      <c r="Z253" s="252"/>
      <c r="AA253" s="370"/>
      <c r="AB253" s="370"/>
      <c r="AC253" s="370"/>
      <c r="AD253" s="370"/>
      <c r="AE253" s="252"/>
      <c r="AF253" s="370"/>
      <c r="AG253" s="370"/>
      <c r="AH253" s="370"/>
      <c r="AI253" s="370"/>
      <c r="AJ253" s="252"/>
      <c r="AK253" s="370"/>
      <c r="AL253" s="370"/>
      <c r="AM253" s="370"/>
      <c r="AN253" s="370"/>
      <c r="AO253" s="252"/>
      <c r="AP253" s="370"/>
      <c r="AQ253" s="370"/>
      <c r="AR253" s="370"/>
      <c r="AS253" s="370"/>
      <c r="AT253" s="252"/>
      <c r="AU253" s="370"/>
      <c r="AV253" s="370"/>
      <c r="AW253" s="728"/>
      <c r="AX253" s="370"/>
      <c r="AY253" s="252"/>
      <c r="AZ253" s="370"/>
      <c r="BA253" s="370"/>
      <c r="BB253" s="370"/>
      <c r="BC253" s="370"/>
      <c r="BD253" s="252"/>
      <c r="BE253" s="252"/>
      <c r="BF253" s="252"/>
      <c r="BG253" s="252"/>
      <c r="BH253" s="365"/>
    </row>
    <row r="254" spans="1:60" s="114" customFormat="1" x14ac:dyDescent="0.25">
      <c r="A254" s="161" t="s">
        <v>729</v>
      </c>
      <c r="B254" s="161"/>
      <c r="C254" s="161"/>
      <c r="D254" s="161"/>
      <c r="E254" s="161"/>
      <c r="F254" s="161"/>
      <c r="G254" s="161"/>
      <c r="H254" s="161"/>
      <c r="I254" s="161"/>
      <c r="J254" s="161"/>
      <c r="K254" s="161"/>
      <c r="L254" s="161"/>
      <c r="M254" s="161"/>
      <c r="N254" s="161"/>
      <c r="O254" s="161"/>
      <c r="P254" s="161"/>
      <c r="Q254" s="161"/>
      <c r="R254" s="161"/>
      <c r="S254" s="161"/>
      <c r="T254" s="161"/>
      <c r="U254" s="161"/>
      <c r="V254" s="161"/>
      <c r="W254" s="161"/>
      <c r="X254" s="161"/>
      <c r="Y254" s="161"/>
      <c r="Z254" s="161"/>
      <c r="AA254" s="161"/>
      <c r="AB254" s="161"/>
      <c r="AC254" s="161"/>
      <c r="AD254" s="161"/>
      <c r="AE254" s="161"/>
      <c r="AF254" s="161"/>
      <c r="AG254" s="161"/>
      <c r="AH254" s="161"/>
      <c r="AI254" s="161"/>
      <c r="AJ254" s="161"/>
      <c r="AK254" s="161"/>
      <c r="AL254" s="161"/>
      <c r="AM254" s="161"/>
      <c r="AN254" s="161"/>
      <c r="AO254" s="161"/>
      <c r="AP254" s="161"/>
      <c r="AQ254" s="161"/>
      <c r="AR254" s="161"/>
      <c r="AS254" s="161"/>
      <c r="AT254" s="161"/>
      <c r="AU254" s="161"/>
      <c r="AV254" s="161"/>
      <c r="AW254" s="721"/>
      <c r="AX254" s="161"/>
      <c r="AY254" s="161"/>
      <c r="AZ254" s="161"/>
      <c r="BA254" s="161"/>
      <c r="BB254" s="161"/>
      <c r="BC254" s="161"/>
      <c r="BD254" s="161"/>
      <c r="BE254" s="161"/>
      <c r="BF254" s="161"/>
      <c r="BG254" s="161"/>
      <c r="BH254" s="365"/>
    </row>
    <row r="255" spans="1:60" s="594" customFormat="1" hidden="1" outlineLevel="1" x14ac:dyDescent="0.25">
      <c r="A255" s="918" t="s">
        <v>754</v>
      </c>
      <c r="B255" s="919"/>
      <c r="C255" s="440">
        <f t="shared" ref="C255:AW255" si="215">C337</f>
        <v>111.943</v>
      </c>
      <c r="D255" s="440">
        <f t="shared" si="215"/>
        <v>116.744</v>
      </c>
      <c r="E255" s="440">
        <f t="shared" si="215"/>
        <v>204.24200000000002</v>
      </c>
      <c r="F255" s="440">
        <f t="shared" si="215"/>
        <v>413.25600000000003</v>
      </c>
      <c r="G255" s="439">
        <f t="shared" si="215"/>
        <v>561.79200000000003</v>
      </c>
      <c r="H255" s="439">
        <f t="shared" si="215"/>
        <v>405.13900000000001</v>
      </c>
      <c r="I255" s="439">
        <f t="shared" si="215"/>
        <v>431.346</v>
      </c>
      <c r="J255" s="439">
        <f t="shared" si="215"/>
        <v>615.21900000000005</v>
      </c>
      <c r="K255" s="440">
        <f t="shared" si="215"/>
        <v>2013.4960000000001</v>
      </c>
      <c r="L255" s="439">
        <f t="shared" si="215"/>
        <v>620.54200000000003</v>
      </c>
      <c r="M255" s="439">
        <f t="shared" si="215"/>
        <v>769.34899999999993</v>
      </c>
      <c r="N255" s="439">
        <f t="shared" si="215"/>
        <v>851.80399999999997</v>
      </c>
      <c r="O255" s="439">
        <f t="shared" si="215"/>
        <v>956.66099999999994</v>
      </c>
      <c r="P255" s="440">
        <f t="shared" si="215"/>
        <v>3198.3560000000002</v>
      </c>
      <c r="Q255" s="439">
        <f t="shared" si="215"/>
        <v>939.88000000000011</v>
      </c>
      <c r="R255" s="439">
        <f t="shared" si="215"/>
        <v>954.976</v>
      </c>
      <c r="S255" s="439">
        <f t="shared" si="215"/>
        <v>936.78899999999999</v>
      </c>
      <c r="T255" s="439">
        <f t="shared" si="215"/>
        <v>1214.3800000000001</v>
      </c>
      <c r="U255" s="440">
        <f t="shared" si="215"/>
        <v>4046.0250000000001</v>
      </c>
      <c r="V255" s="439">
        <f t="shared" si="215"/>
        <v>1147.048</v>
      </c>
      <c r="W255" s="439">
        <f t="shared" si="215"/>
        <v>1270.0170000000001</v>
      </c>
      <c r="X255" s="439">
        <f t="shared" si="215"/>
        <v>2298.4359999999997</v>
      </c>
      <c r="Y255" s="439">
        <f t="shared" si="215"/>
        <v>2284.6309999999999</v>
      </c>
      <c r="Z255" s="440">
        <f t="shared" si="215"/>
        <v>7000.1319999999996</v>
      </c>
      <c r="AA255" s="439">
        <f t="shared" si="215"/>
        <v>2696.27</v>
      </c>
      <c r="AB255" s="439">
        <f t="shared" si="215"/>
        <v>2789.5569999999998</v>
      </c>
      <c r="AC255" s="439">
        <f t="shared" si="215"/>
        <v>2984.6750000000002</v>
      </c>
      <c r="AD255" s="439">
        <f t="shared" si="215"/>
        <v>3288.2489999999993</v>
      </c>
      <c r="AE255" s="440">
        <f t="shared" si="215"/>
        <v>11758.751</v>
      </c>
      <c r="AF255" s="439">
        <f t="shared" si="215"/>
        <v>3408.7509999999997</v>
      </c>
      <c r="AG255" s="439">
        <f t="shared" si="215"/>
        <v>4002.2309999999993</v>
      </c>
      <c r="AH255" s="439">
        <f t="shared" si="215"/>
        <v>6824.4130000000005</v>
      </c>
      <c r="AI255" s="439">
        <f t="shared" si="215"/>
        <v>7225.8730000000005</v>
      </c>
      <c r="AJ255" s="440">
        <f t="shared" si="215"/>
        <v>21461.268</v>
      </c>
      <c r="AK255" s="439">
        <f t="shared" si="215"/>
        <v>4541.4639999999999</v>
      </c>
      <c r="AL255" s="439">
        <f t="shared" si="215"/>
        <v>6349.6759999999995</v>
      </c>
      <c r="AM255" s="439">
        <f t="shared" si="215"/>
        <v>6303</v>
      </c>
      <c r="AN255" s="439">
        <f t="shared" si="215"/>
        <v>7383.86</v>
      </c>
      <c r="AO255" s="440">
        <f t="shared" si="215"/>
        <v>24578</v>
      </c>
      <c r="AP255" s="439">
        <f t="shared" si="215"/>
        <v>5985</v>
      </c>
      <c r="AQ255" s="439">
        <f t="shared" si="215"/>
        <v>6036</v>
      </c>
      <c r="AR255" s="439">
        <f t="shared" si="215"/>
        <v>8771</v>
      </c>
      <c r="AS255" s="439">
        <f t="shared" si="215"/>
        <v>10744</v>
      </c>
      <c r="AT255" s="440">
        <f t="shared" si="215"/>
        <v>31536</v>
      </c>
      <c r="AU255" s="439">
        <f t="shared" si="215"/>
        <v>10389</v>
      </c>
      <c r="AV255" s="439">
        <f t="shared" si="215"/>
        <v>11958</v>
      </c>
      <c r="AW255" s="726">
        <f t="shared" si="215"/>
        <v>13757</v>
      </c>
      <c r="AX255" s="920">
        <f t="shared" ref="AX255:BG255" si="216">AX381</f>
        <v>16899.050907895275</v>
      </c>
      <c r="AY255" s="591">
        <f t="shared" si="216"/>
        <v>53003.050907895275</v>
      </c>
      <c r="AZ255" s="920">
        <f t="shared" si="216"/>
        <v>21403.814099947969</v>
      </c>
      <c r="BA255" s="920">
        <f t="shared" si="216"/>
        <v>25225.705816595149</v>
      </c>
      <c r="BB255" s="920">
        <f t="shared" si="216"/>
        <v>30190.877792410611</v>
      </c>
      <c r="BC255" s="920">
        <f t="shared" si="216"/>
        <v>34099.283392148565</v>
      </c>
      <c r="BD255" s="591">
        <f t="shared" si="216"/>
        <v>110919.68110110229</v>
      </c>
      <c r="BE255" s="591">
        <f t="shared" si="216"/>
        <v>136754.23778768402</v>
      </c>
      <c r="BF255" s="591">
        <f t="shared" si="216"/>
        <v>167579.84368233572</v>
      </c>
      <c r="BG255" s="591">
        <f t="shared" si="216"/>
        <v>205461.48839313802</v>
      </c>
      <c r="BH255" s="592"/>
    </row>
    <row r="256" spans="1:60" s="993" customFormat="1" hidden="1" outlineLevel="1" x14ac:dyDescent="0.25">
      <c r="A256" s="466" t="s">
        <v>812</v>
      </c>
      <c r="B256" s="467"/>
      <c r="C256" s="479">
        <f t="shared" ref="C256:AV256" si="217">C342</f>
        <v>102.408</v>
      </c>
      <c r="D256" s="479">
        <f t="shared" si="217"/>
        <v>86.013000000000005</v>
      </c>
      <c r="E256" s="479">
        <f t="shared" si="217"/>
        <v>142.64699999999999</v>
      </c>
      <c r="F256" s="479">
        <f t="shared" si="217"/>
        <v>383.18900000000002</v>
      </c>
      <c r="G256" s="459">
        <f t="shared" si="217"/>
        <v>465.47199999999998</v>
      </c>
      <c r="H256" s="459">
        <f t="shared" si="217"/>
        <v>304.65600000000001</v>
      </c>
      <c r="I256" s="459">
        <f t="shared" si="217"/>
        <v>328.47800000000001</v>
      </c>
      <c r="J256" s="459">
        <f t="shared" si="217"/>
        <v>458.62799999999999</v>
      </c>
      <c r="K256" s="479">
        <f t="shared" si="217"/>
        <v>1557.2339999999999</v>
      </c>
      <c r="L256" s="459">
        <f t="shared" si="217"/>
        <v>465.41400000000004</v>
      </c>
      <c r="M256" s="459">
        <f t="shared" si="217"/>
        <v>556.35400000000004</v>
      </c>
      <c r="N256" s="459">
        <f t="shared" si="217"/>
        <v>599.95299999999997</v>
      </c>
      <c r="O256" s="459">
        <f t="shared" si="217"/>
        <v>694.96400000000006</v>
      </c>
      <c r="P256" s="479">
        <f t="shared" si="217"/>
        <v>2316.6849999999999</v>
      </c>
      <c r="Q256" s="459">
        <f t="shared" si="217"/>
        <v>679.80700000000002</v>
      </c>
      <c r="R256" s="459">
        <f t="shared" si="217"/>
        <v>741.60599999999999</v>
      </c>
      <c r="S256" s="459">
        <f t="shared" si="217"/>
        <v>705.29300000000001</v>
      </c>
      <c r="T256" s="459">
        <f t="shared" si="217"/>
        <v>995.81600000000003</v>
      </c>
      <c r="U256" s="479">
        <f t="shared" si="217"/>
        <v>3122.5219999999999</v>
      </c>
      <c r="V256" s="459">
        <f t="shared" si="217"/>
        <v>894.58</v>
      </c>
      <c r="W256" s="459">
        <f t="shared" si="217"/>
        <v>995.24099999999999</v>
      </c>
      <c r="X256" s="459">
        <f t="shared" si="217"/>
        <v>1661.701</v>
      </c>
      <c r="Y256" s="459">
        <f t="shared" si="217"/>
        <v>1849.3530000000001</v>
      </c>
      <c r="Z256" s="479">
        <f t="shared" si="217"/>
        <v>5400.875</v>
      </c>
      <c r="AA256" s="459">
        <f t="shared" si="217"/>
        <v>2028.3239999999998</v>
      </c>
      <c r="AB256" s="459">
        <f t="shared" si="217"/>
        <v>2122.942</v>
      </c>
      <c r="AC256" s="459">
        <f t="shared" si="217"/>
        <v>2535.5349999999999</v>
      </c>
      <c r="AD256" s="459">
        <f t="shared" si="217"/>
        <v>2849.4630000000002</v>
      </c>
      <c r="AE256" s="479">
        <f t="shared" si="217"/>
        <v>9536.2639999999992</v>
      </c>
      <c r="AF256" s="459">
        <f t="shared" si="217"/>
        <v>2952.2249999999999</v>
      </c>
      <c r="AG256" s="459">
        <f t="shared" si="217"/>
        <v>3383.3010000000004</v>
      </c>
      <c r="AH256" s="459">
        <f t="shared" si="217"/>
        <v>5300.7480000000005</v>
      </c>
      <c r="AI256" s="459">
        <f t="shared" si="217"/>
        <v>5782.973</v>
      </c>
      <c r="AJ256" s="479">
        <f t="shared" si="217"/>
        <v>17419.246999999999</v>
      </c>
      <c r="AK256" s="459">
        <f t="shared" si="217"/>
        <v>3975.721</v>
      </c>
      <c r="AL256" s="459">
        <f t="shared" si="217"/>
        <v>5428.63</v>
      </c>
      <c r="AM256" s="459">
        <f t="shared" si="217"/>
        <v>5112</v>
      </c>
      <c r="AN256" s="459">
        <f t="shared" si="217"/>
        <v>5992.6490000000003</v>
      </c>
      <c r="AO256" s="479">
        <f t="shared" si="217"/>
        <v>20509</v>
      </c>
      <c r="AP256" s="459">
        <f t="shared" si="217"/>
        <v>4751</v>
      </c>
      <c r="AQ256" s="459">
        <f t="shared" si="217"/>
        <v>4769</v>
      </c>
      <c r="AR256" s="459">
        <f t="shared" si="217"/>
        <v>6708</v>
      </c>
      <c r="AS256" s="459">
        <f t="shared" si="217"/>
        <v>8678</v>
      </c>
      <c r="AT256" s="479">
        <f t="shared" si="217"/>
        <v>24906</v>
      </c>
      <c r="AU256" s="459">
        <f t="shared" si="217"/>
        <v>8174</v>
      </c>
      <c r="AV256" s="459">
        <f t="shared" si="217"/>
        <v>9074</v>
      </c>
      <c r="AW256" s="723">
        <f>AW342</f>
        <v>10097</v>
      </c>
      <c r="AX256" s="459">
        <f>AX384</f>
        <v>12239.625780955386</v>
      </c>
      <c r="AY256" s="479">
        <f t="shared" ref="AY256:BG256" si="218">AY384</f>
        <v>39584.625780955386</v>
      </c>
      <c r="AZ256" s="459">
        <f t="shared" si="218"/>
        <v>15444.940949923282</v>
      </c>
      <c r="BA256" s="459">
        <f t="shared" si="218"/>
        <v>18315.097051475943</v>
      </c>
      <c r="BB256" s="459">
        <f t="shared" si="218"/>
        <v>21679.145808670357</v>
      </c>
      <c r="BC256" s="459">
        <f t="shared" si="218"/>
        <v>24753.839984157654</v>
      </c>
      <c r="BD256" s="479">
        <f t="shared" si="218"/>
        <v>80193.023794227236</v>
      </c>
      <c r="BE256" s="479">
        <f t="shared" si="218"/>
        <v>98965.802949378645</v>
      </c>
      <c r="BF256" s="479">
        <f t="shared" si="218"/>
        <v>121457.34870903401</v>
      </c>
      <c r="BG256" s="479">
        <f t="shared" si="218"/>
        <v>149342.44244734797</v>
      </c>
      <c r="BH256" s="992"/>
    </row>
    <row r="257" spans="1:60" s="596" customFormat="1" collapsed="1" x14ac:dyDescent="0.25">
      <c r="A257" s="927" t="s">
        <v>755</v>
      </c>
      <c r="B257" s="928"/>
      <c r="C257" s="438">
        <f t="shared" ref="C257:AW257" si="219">C343</f>
        <v>9.5349999999999966</v>
      </c>
      <c r="D257" s="438">
        <f t="shared" si="219"/>
        <v>30.730999999999995</v>
      </c>
      <c r="E257" s="438">
        <f t="shared" si="219"/>
        <v>61.595000000000027</v>
      </c>
      <c r="F257" s="438">
        <f t="shared" si="219"/>
        <v>30.067000000000007</v>
      </c>
      <c r="G257" s="437">
        <f t="shared" si="219"/>
        <v>96.32000000000005</v>
      </c>
      <c r="H257" s="437">
        <f t="shared" si="219"/>
        <v>100.483</v>
      </c>
      <c r="I257" s="437">
        <f t="shared" si="219"/>
        <v>102.86799999999999</v>
      </c>
      <c r="J257" s="437">
        <f t="shared" si="219"/>
        <v>156.59100000000007</v>
      </c>
      <c r="K257" s="438">
        <f t="shared" si="219"/>
        <v>456.26200000000017</v>
      </c>
      <c r="L257" s="437">
        <f t="shared" si="219"/>
        <v>155.12799999999999</v>
      </c>
      <c r="M257" s="437">
        <f t="shared" si="219"/>
        <v>212.99499999999989</v>
      </c>
      <c r="N257" s="437">
        <f t="shared" si="219"/>
        <v>251.851</v>
      </c>
      <c r="O257" s="437">
        <f t="shared" si="219"/>
        <v>261.69699999999989</v>
      </c>
      <c r="P257" s="438">
        <f t="shared" si="219"/>
        <v>881.67100000000028</v>
      </c>
      <c r="Q257" s="437">
        <f t="shared" si="219"/>
        <v>260.07300000000009</v>
      </c>
      <c r="R257" s="437">
        <f t="shared" si="219"/>
        <v>213.37</v>
      </c>
      <c r="S257" s="437">
        <f t="shared" si="219"/>
        <v>231.49599999999998</v>
      </c>
      <c r="T257" s="437">
        <f t="shared" si="219"/>
        <v>218.56400000000008</v>
      </c>
      <c r="U257" s="438">
        <f t="shared" si="219"/>
        <v>923.50300000000016</v>
      </c>
      <c r="V257" s="437">
        <f t="shared" si="219"/>
        <v>252.46799999999996</v>
      </c>
      <c r="W257" s="437">
        <f t="shared" si="219"/>
        <v>274.77600000000007</v>
      </c>
      <c r="X257" s="437">
        <f t="shared" si="219"/>
        <v>636.73499999999967</v>
      </c>
      <c r="Y257" s="437">
        <f t="shared" si="219"/>
        <v>435.27799999999979</v>
      </c>
      <c r="Z257" s="438">
        <f t="shared" si="219"/>
        <v>1599.2569999999996</v>
      </c>
      <c r="AA257" s="437">
        <f t="shared" si="219"/>
        <v>667.94600000000014</v>
      </c>
      <c r="AB257" s="437">
        <f t="shared" si="219"/>
        <v>666.61499999999978</v>
      </c>
      <c r="AC257" s="437">
        <f t="shared" si="219"/>
        <v>449.14000000000033</v>
      </c>
      <c r="AD257" s="437">
        <f t="shared" si="219"/>
        <v>438.78599999999915</v>
      </c>
      <c r="AE257" s="438">
        <f t="shared" si="219"/>
        <v>2222.487000000001</v>
      </c>
      <c r="AF257" s="437">
        <f t="shared" si="219"/>
        <v>456.52599999999984</v>
      </c>
      <c r="AG257" s="437">
        <f t="shared" si="219"/>
        <v>618.92999999999893</v>
      </c>
      <c r="AH257" s="437">
        <f t="shared" si="219"/>
        <v>1523.665</v>
      </c>
      <c r="AI257" s="437">
        <f t="shared" si="219"/>
        <v>1442.9000000000005</v>
      </c>
      <c r="AJ257" s="438">
        <f t="shared" si="219"/>
        <v>4042.0210000000006</v>
      </c>
      <c r="AK257" s="437">
        <f t="shared" si="219"/>
        <v>565.74299999999994</v>
      </c>
      <c r="AL257" s="437">
        <f t="shared" si="219"/>
        <v>921.04599999999937</v>
      </c>
      <c r="AM257" s="437">
        <f t="shared" si="219"/>
        <v>1191</v>
      </c>
      <c r="AN257" s="437">
        <f t="shared" si="219"/>
        <v>1391.2109999999993</v>
      </c>
      <c r="AO257" s="438">
        <f t="shared" si="219"/>
        <v>4069</v>
      </c>
      <c r="AP257" s="437">
        <f t="shared" si="219"/>
        <v>1234</v>
      </c>
      <c r="AQ257" s="437">
        <f t="shared" si="219"/>
        <v>1267</v>
      </c>
      <c r="AR257" s="437">
        <f t="shared" si="219"/>
        <v>2063</v>
      </c>
      <c r="AS257" s="437">
        <f t="shared" si="219"/>
        <v>2066</v>
      </c>
      <c r="AT257" s="438">
        <f t="shared" si="219"/>
        <v>6630</v>
      </c>
      <c r="AU257" s="437">
        <f t="shared" si="219"/>
        <v>2215</v>
      </c>
      <c r="AV257" s="437">
        <f t="shared" si="219"/>
        <v>2884</v>
      </c>
      <c r="AW257" s="725">
        <f t="shared" si="219"/>
        <v>3660</v>
      </c>
      <c r="AX257" s="930">
        <f>AX245</f>
        <v>4659.4251269398883</v>
      </c>
      <c r="AY257" s="929">
        <f>SUM(AU257,AV257,AW257,AX257)</f>
        <v>13418.425126939888</v>
      </c>
      <c r="AZ257" s="930">
        <f>AZ245</f>
        <v>5958.8731500246859</v>
      </c>
      <c r="BA257" s="930">
        <f>BA245</f>
        <v>6910.6087651192056</v>
      </c>
      <c r="BB257" s="930">
        <f>BB245</f>
        <v>8511.7319837402538</v>
      </c>
      <c r="BC257" s="930">
        <f>BC245</f>
        <v>9345.4434079909133</v>
      </c>
      <c r="BD257" s="929">
        <f>SUM(AZ257,BA257,BB257,BC257)</f>
        <v>30726.657306875059</v>
      </c>
      <c r="BE257" s="929">
        <f>BE245</f>
        <v>37788.434838305366</v>
      </c>
      <c r="BF257" s="929">
        <f>BF245</f>
        <v>46122.49497330172</v>
      </c>
      <c r="BG257" s="929">
        <f>BG245</f>
        <v>56119.045945790051</v>
      </c>
      <c r="BH257" s="595"/>
    </row>
    <row r="258" spans="1:60" s="936" customFormat="1" x14ac:dyDescent="0.25">
      <c r="A258" s="931" t="s">
        <v>756</v>
      </c>
      <c r="B258" s="932"/>
      <c r="C258" s="191"/>
      <c r="D258" s="191">
        <f>D257/C257-1</f>
        <v>2.2229680125852131</v>
      </c>
      <c r="E258" s="191">
        <f>E257/D257-1</f>
        <v>1.0043278773876554</v>
      </c>
      <c r="F258" s="191">
        <f>F257/E257-1</f>
        <v>-0.51185972887409703</v>
      </c>
      <c r="G258" s="1004"/>
      <c r="H258" s="1004"/>
      <c r="I258" s="1004"/>
      <c r="J258" s="1004"/>
      <c r="K258" s="191">
        <f t="shared" ref="K258:BD258" si="220">K257/F257-1</f>
        <v>14.174842850966177</v>
      </c>
      <c r="L258" s="1004">
        <f t="shared" si="220"/>
        <v>0.61054817275747419</v>
      </c>
      <c r="M258" s="1004">
        <f t="shared" si="220"/>
        <v>1.1197117920444244</v>
      </c>
      <c r="N258" s="1004">
        <f t="shared" si="220"/>
        <v>1.4482929579655481</v>
      </c>
      <c r="O258" s="1004">
        <f t="shared" si="220"/>
        <v>0.67121354356252771</v>
      </c>
      <c r="P258" s="191">
        <f t="shared" si="220"/>
        <v>0.93237876483248638</v>
      </c>
      <c r="Q258" s="1004">
        <f t="shared" si="220"/>
        <v>0.67650585323088097</v>
      </c>
      <c r="R258" s="1004">
        <f t="shared" si="220"/>
        <v>1.7606047090312771E-3</v>
      </c>
      <c r="S258" s="1004">
        <f t="shared" si="220"/>
        <v>-8.0821596896577863E-2</v>
      </c>
      <c r="T258" s="1004">
        <f t="shared" si="220"/>
        <v>-0.16482038387906561</v>
      </c>
      <c r="U258" s="191">
        <f t="shared" si="220"/>
        <v>4.744626964026244E-2</v>
      </c>
      <c r="V258" s="1004">
        <f t="shared" si="220"/>
        <v>-2.9241789805170559E-2</v>
      </c>
      <c r="W258" s="1004">
        <f t="shared" si="220"/>
        <v>0.28779116089422163</v>
      </c>
      <c r="X258" s="1004">
        <f t="shared" si="220"/>
        <v>1.7505226872170567</v>
      </c>
      <c r="Y258" s="1004">
        <f t="shared" si="220"/>
        <v>0.99153566003550275</v>
      </c>
      <c r="Z258" s="191">
        <f t="shared" si="220"/>
        <v>0.7317290793857727</v>
      </c>
      <c r="AA258" s="1004">
        <f t="shared" si="220"/>
        <v>1.6456659853922089</v>
      </c>
      <c r="AB258" s="1004">
        <f t="shared" si="220"/>
        <v>1.4260306576993611</v>
      </c>
      <c r="AC258" s="1004">
        <f t="shared" si="220"/>
        <v>-0.29462021091976953</v>
      </c>
      <c r="AD258" s="1004">
        <f t="shared" si="220"/>
        <v>8.0592173277751478E-3</v>
      </c>
      <c r="AE258" s="191">
        <f t="shared" si="220"/>
        <v>0.3896997168059928</v>
      </c>
      <c r="AF258" s="1004">
        <f t="shared" si="220"/>
        <v>-0.31652259314375752</v>
      </c>
      <c r="AG258" s="1004">
        <f t="shared" si="220"/>
        <v>-7.1533043810896646E-2</v>
      </c>
      <c r="AH258" s="1004">
        <f t="shared" si="220"/>
        <v>2.3924054860399848</v>
      </c>
      <c r="AI258" s="1004">
        <f t="shared" si="220"/>
        <v>2.2883911519510725</v>
      </c>
      <c r="AJ258" s="191">
        <f t="shared" si="220"/>
        <v>0.81869275275850839</v>
      </c>
      <c r="AK258" s="1004">
        <f t="shared" si="220"/>
        <v>0.23923500523518948</v>
      </c>
      <c r="AL258" s="1004">
        <f t="shared" si="220"/>
        <v>0.48812628245520662</v>
      </c>
      <c r="AM258" s="1004">
        <f t="shared" si="220"/>
        <v>-0.21833211368640748</v>
      </c>
      <c r="AN258" s="1004">
        <f t="shared" si="220"/>
        <v>-3.5822995356574405E-2</v>
      </c>
      <c r="AO258" s="191">
        <f t="shared" si="220"/>
        <v>6.6746313292285198E-3</v>
      </c>
      <c r="AP258" s="1004">
        <f t="shared" si="220"/>
        <v>1.1812024187661185</v>
      </c>
      <c r="AQ258" s="1004">
        <f t="shared" si="220"/>
        <v>0.37560990439131259</v>
      </c>
      <c r="AR258" s="1004">
        <f t="shared" si="220"/>
        <v>0.73215785054575977</v>
      </c>
      <c r="AS258" s="1004">
        <f t="shared" si="220"/>
        <v>0.48503713671039184</v>
      </c>
      <c r="AT258" s="191">
        <f t="shared" si="220"/>
        <v>0.62939297124600646</v>
      </c>
      <c r="AU258" s="1004">
        <f t="shared" si="220"/>
        <v>0.79497568881685576</v>
      </c>
      <c r="AV258" s="1004">
        <f t="shared" si="220"/>
        <v>1.2762430939226519</v>
      </c>
      <c r="AW258" s="820">
        <f t="shared" si="220"/>
        <v>0.77411536597188557</v>
      </c>
      <c r="AX258" s="934">
        <f t="shared" si="220"/>
        <v>1.2552880575701297</v>
      </c>
      <c r="AY258" s="933">
        <f t="shared" si="220"/>
        <v>1.0238951926002846</v>
      </c>
      <c r="AZ258" s="934">
        <f t="shared" si="220"/>
        <v>1.6902361851127248</v>
      </c>
      <c r="BA258" s="934">
        <f t="shared" si="220"/>
        <v>1.3961888922049952</v>
      </c>
      <c r="BB258" s="934">
        <f t="shared" si="220"/>
        <v>1.3256098316230203</v>
      </c>
      <c r="BC258" s="934">
        <f t="shared" si="220"/>
        <v>1.0057073895140798</v>
      </c>
      <c r="BD258" s="933">
        <f t="shared" si="220"/>
        <v>1.2898855131058413</v>
      </c>
      <c r="BE258" s="933">
        <f>BE257/BD257-1</f>
        <v>0.22982576532495913</v>
      </c>
      <c r="BF258" s="933">
        <f>BF257/BE257-1</f>
        <v>0.22054525863951069</v>
      </c>
      <c r="BG258" s="933">
        <f>BG257/BF257-1</f>
        <v>0.21673916335781263</v>
      </c>
      <c r="BH258" s="935"/>
    </row>
    <row r="259" spans="1:60" s="942" customFormat="1" x14ac:dyDescent="0.25">
      <c r="A259" s="937" t="s">
        <v>80</v>
      </c>
      <c r="B259" s="938"/>
      <c r="C259" s="100">
        <f t="shared" ref="C259:AH259" si="221">C257/C255</f>
        <v>8.5177277721697614E-2</v>
      </c>
      <c r="D259" s="100">
        <f t="shared" si="221"/>
        <v>0.26323408483519489</v>
      </c>
      <c r="E259" s="100">
        <f t="shared" si="221"/>
        <v>0.30157851959929899</v>
      </c>
      <c r="F259" s="100">
        <f t="shared" si="221"/>
        <v>7.2756354414696953E-2</v>
      </c>
      <c r="G259" s="1005">
        <f t="shared" si="221"/>
        <v>0.17145135566188205</v>
      </c>
      <c r="H259" s="1005">
        <f t="shared" si="221"/>
        <v>0.24802104956570462</v>
      </c>
      <c r="I259" s="1005">
        <f t="shared" si="221"/>
        <v>0.23848140471918133</v>
      </c>
      <c r="J259" s="1005">
        <f t="shared" si="221"/>
        <v>0.25452887508350691</v>
      </c>
      <c r="K259" s="100">
        <f t="shared" si="221"/>
        <v>0.22660189044328877</v>
      </c>
      <c r="L259" s="1005">
        <f t="shared" si="221"/>
        <v>0.24998791379149191</v>
      </c>
      <c r="M259" s="1005">
        <f t="shared" si="221"/>
        <v>0.27685094800929083</v>
      </c>
      <c r="N259" s="1005">
        <f t="shared" si="221"/>
        <v>0.29566778272936028</v>
      </c>
      <c r="O259" s="1005">
        <f t="shared" si="221"/>
        <v>0.27355249142590732</v>
      </c>
      <c r="P259" s="100">
        <f t="shared" si="221"/>
        <v>0.27566380978227573</v>
      </c>
      <c r="Q259" s="1005">
        <f t="shared" si="221"/>
        <v>0.27670872877388608</v>
      </c>
      <c r="R259" s="1005">
        <f t="shared" si="221"/>
        <v>0.22342969875682739</v>
      </c>
      <c r="S259" s="1005">
        <f t="shared" si="221"/>
        <v>0.24711647980495072</v>
      </c>
      <c r="T259" s="1005">
        <f t="shared" si="221"/>
        <v>0.17997990744248099</v>
      </c>
      <c r="U259" s="100">
        <f t="shared" si="221"/>
        <v>0.22824945471172328</v>
      </c>
      <c r="V259" s="1005">
        <f t="shared" si="221"/>
        <v>0.22010238455583372</v>
      </c>
      <c r="W259" s="1005">
        <f t="shared" si="221"/>
        <v>0.21635615901204477</v>
      </c>
      <c r="X259" s="1005">
        <f t="shared" si="221"/>
        <v>0.27702968453330862</v>
      </c>
      <c r="Y259" s="1005">
        <f t="shared" si="221"/>
        <v>0.19052442166809425</v>
      </c>
      <c r="Z259" s="100">
        <f t="shared" si="221"/>
        <v>0.22846097759299391</v>
      </c>
      <c r="AA259" s="1005">
        <f t="shared" si="221"/>
        <v>0.24772964131930414</v>
      </c>
      <c r="AB259" s="1005">
        <f t="shared" si="221"/>
        <v>0.23896805119952733</v>
      </c>
      <c r="AC259" s="1005">
        <f t="shared" si="221"/>
        <v>0.15048204578387941</v>
      </c>
      <c r="AD259" s="1005">
        <f t="shared" si="221"/>
        <v>0.13344062447825553</v>
      </c>
      <c r="AE259" s="100">
        <f t="shared" si="221"/>
        <v>0.18900706376042839</v>
      </c>
      <c r="AF259" s="1005">
        <f t="shared" si="221"/>
        <v>0.13392764681257149</v>
      </c>
      <c r="AG259" s="1005">
        <f t="shared" si="221"/>
        <v>0.15464624605626187</v>
      </c>
      <c r="AH259" s="1005">
        <f t="shared" si="221"/>
        <v>0.22326682162993358</v>
      </c>
      <c r="AI259" s="1005">
        <f t="shared" ref="AI259:BG259" si="222">AI257/AI255</f>
        <v>0.19968521450626112</v>
      </c>
      <c r="AJ259" s="100">
        <f t="shared" si="222"/>
        <v>0.18834026954977687</v>
      </c>
      <c r="AK259" s="1005">
        <f t="shared" si="222"/>
        <v>0.1245728249745016</v>
      </c>
      <c r="AL259" s="1005">
        <f t="shared" si="222"/>
        <v>0.14505401535448414</v>
      </c>
      <c r="AM259" s="1005">
        <f t="shared" si="222"/>
        <v>0.18895763921941933</v>
      </c>
      <c r="AN259" s="1005">
        <f t="shared" si="222"/>
        <v>0.1884124292714108</v>
      </c>
      <c r="AO259" s="100">
        <f t="shared" si="222"/>
        <v>0.1655545609895028</v>
      </c>
      <c r="AP259" s="1005">
        <f t="shared" si="222"/>
        <v>0.20618212197159566</v>
      </c>
      <c r="AQ259" s="1005">
        <f t="shared" si="222"/>
        <v>0.20990722332670642</v>
      </c>
      <c r="AR259" s="1005">
        <f t="shared" si="222"/>
        <v>0.23520693193478509</v>
      </c>
      <c r="AS259" s="1005">
        <f t="shared" si="222"/>
        <v>0.19229337304542071</v>
      </c>
      <c r="AT259" s="100">
        <f t="shared" si="222"/>
        <v>0.2102359208523592</v>
      </c>
      <c r="AU259" s="1005">
        <f t="shared" si="222"/>
        <v>0.21320627586870727</v>
      </c>
      <c r="AV259" s="1005">
        <f t="shared" si="222"/>
        <v>0.24117745442381669</v>
      </c>
      <c r="AW259" s="727">
        <f t="shared" si="222"/>
        <v>0.26604637639020134</v>
      </c>
      <c r="AX259" s="940">
        <f t="shared" si="222"/>
        <v>0.27572111311665404</v>
      </c>
      <c r="AY259" s="939">
        <f t="shared" si="222"/>
        <v>0.25316325941797996</v>
      </c>
      <c r="AZ259" s="940">
        <f t="shared" si="222"/>
        <v>0.27840239698396424</v>
      </c>
      <c r="BA259" s="940">
        <f t="shared" si="222"/>
        <v>0.27395105672614906</v>
      </c>
      <c r="BB259" s="940">
        <f t="shared" si="222"/>
        <v>0.28193058983796537</v>
      </c>
      <c r="BC259" s="940">
        <f t="shared" si="222"/>
        <v>0.27406568344901705</v>
      </c>
      <c r="BD259" s="939">
        <f t="shared" si="222"/>
        <v>0.27701718037638412</v>
      </c>
      <c r="BE259" s="939">
        <f t="shared" si="222"/>
        <v>0.2763236843670856</v>
      </c>
      <c r="BF259" s="939">
        <f t="shared" si="222"/>
        <v>0.27522698410395646</v>
      </c>
      <c r="BG259" s="939">
        <f t="shared" si="222"/>
        <v>0.27313656872965741</v>
      </c>
      <c r="BH259" s="941"/>
    </row>
    <row r="260" spans="1:60" s="936" customFormat="1" x14ac:dyDescent="0.25">
      <c r="A260" s="931" t="s">
        <v>81</v>
      </c>
      <c r="B260" s="932"/>
      <c r="C260" s="191"/>
      <c r="D260" s="191"/>
      <c r="E260" s="191"/>
      <c r="F260" s="191"/>
      <c r="G260" s="1004"/>
      <c r="H260" s="1004"/>
      <c r="I260" s="1004"/>
      <c r="J260" s="1004"/>
      <c r="K260" s="191"/>
      <c r="L260" s="1004"/>
      <c r="M260" s="1004"/>
      <c r="N260" s="1004"/>
      <c r="O260" s="1004"/>
      <c r="P260" s="191"/>
      <c r="Q260" s="1004"/>
      <c r="R260" s="1004"/>
      <c r="S260" s="1004"/>
      <c r="T260" s="1004"/>
      <c r="U260" s="191"/>
      <c r="V260" s="1004"/>
      <c r="W260" s="1004"/>
      <c r="X260" s="1004"/>
      <c r="Y260" s="1004"/>
      <c r="Z260" s="191"/>
      <c r="AA260" s="1004"/>
      <c r="AB260" s="1004"/>
      <c r="AC260" s="1004"/>
      <c r="AD260" s="1004"/>
      <c r="AE260" s="191"/>
      <c r="AF260" s="1004"/>
      <c r="AG260" s="1004"/>
      <c r="AH260" s="1004"/>
      <c r="AI260" s="1004"/>
      <c r="AJ260" s="191"/>
      <c r="AK260" s="1004"/>
      <c r="AL260" s="1004"/>
      <c r="AM260" s="1004"/>
      <c r="AN260" s="1004"/>
      <c r="AO260" s="191"/>
      <c r="AP260" s="1004"/>
      <c r="AQ260" s="1004"/>
      <c r="AR260" s="1004"/>
      <c r="AS260" s="1004"/>
      <c r="AT260" s="191"/>
      <c r="AU260" s="1004"/>
      <c r="AV260" s="1004"/>
      <c r="AW260" s="820"/>
      <c r="AX260" s="934" t="str">
        <f t="shared" ref="AX260:BG260" ca="1" si="223">AX318</f>
        <v>N/A</v>
      </c>
      <c r="AY260" s="933" t="str">
        <f t="shared" ca="1" si="223"/>
        <v>N/A</v>
      </c>
      <c r="AZ260" s="934" t="str">
        <f t="shared" ca="1" si="223"/>
        <v>N/A</v>
      </c>
      <c r="BA260" s="934" t="str">
        <f t="shared" ca="1" si="223"/>
        <v>N/A</v>
      </c>
      <c r="BB260" s="934" t="str">
        <f t="shared" ca="1" si="223"/>
        <v>N/A</v>
      </c>
      <c r="BC260" s="934" t="str">
        <f t="shared" ca="1" si="223"/>
        <v>N/A</v>
      </c>
      <c r="BD260" s="933" t="str">
        <f t="shared" ca="1" si="223"/>
        <v>N/A</v>
      </c>
      <c r="BE260" s="933" t="str">
        <f t="shared" ca="1" si="223"/>
        <v>N/A</v>
      </c>
      <c r="BF260" s="933" t="str">
        <f t="shared" ca="1" si="223"/>
        <v>N/A</v>
      </c>
      <c r="BG260" s="933" t="str">
        <f t="shared" ca="1" si="223"/>
        <v>N/A</v>
      </c>
      <c r="BH260" s="935"/>
    </row>
    <row r="261" spans="1:60" s="594" customFormat="1" x14ac:dyDescent="0.25">
      <c r="A261" s="590" t="s">
        <v>757</v>
      </c>
      <c r="B261" s="919"/>
      <c r="C261" s="440"/>
      <c r="D261" s="440">
        <f>(D259-C259)*10000</f>
        <v>1780.5680711349728</v>
      </c>
      <c r="E261" s="440">
        <f>(E259-D259)*10000</f>
        <v>383.44434764104096</v>
      </c>
      <c r="F261" s="440">
        <f>(F259-E259)*10000</f>
        <v>-2288.22165184602</v>
      </c>
      <c r="G261" s="439"/>
      <c r="H261" s="439"/>
      <c r="I261" s="439"/>
      <c r="J261" s="439"/>
      <c r="K261" s="440">
        <f t="shared" ref="K261:BD261" si="224">(K259-F259)*10000</f>
        <v>1538.455360285918</v>
      </c>
      <c r="L261" s="439">
        <f t="shared" si="224"/>
        <v>785.36558129609853</v>
      </c>
      <c r="M261" s="439">
        <f t="shared" si="224"/>
        <v>288.29898443586217</v>
      </c>
      <c r="N261" s="439">
        <f t="shared" si="224"/>
        <v>571.86378010178953</v>
      </c>
      <c r="O261" s="439">
        <f t="shared" si="224"/>
        <v>190.23616342400408</v>
      </c>
      <c r="P261" s="440">
        <f t="shared" si="224"/>
        <v>490.61919338986957</v>
      </c>
      <c r="Q261" s="439">
        <f t="shared" si="224"/>
        <v>267.20814982394177</v>
      </c>
      <c r="R261" s="439">
        <f t="shared" si="224"/>
        <v>-534.2124925246344</v>
      </c>
      <c r="S261" s="439">
        <f t="shared" si="224"/>
        <v>-485.51302924409566</v>
      </c>
      <c r="T261" s="439">
        <f t="shared" si="224"/>
        <v>-935.7258398342633</v>
      </c>
      <c r="U261" s="440">
        <f t="shared" si="224"/>
        <v>-474.14355070552443</v>
      </c>
      <c r="V261" s="439">
        <f t="shared" si="224"/>
        <v>-566.06344218052357</v>
      </c>
      <c r="W261" s="439">
        <f t="shared" si="224"/>
        <v>-70.735397447826145</v>
      </c>
      <c r="X261" s="439">
        <f t="shared" si="224"/>
        <v>299.13204728357903</v>
      </c>
      <c r="Y261" s="439">
        <f t="shared" si="224"/>
        <v>105.44514225613256</v>
      </c>
      <c r="Z261" s="440">
        <f t="shared" si="224"/>
        <v>2.1152288127063157</v>
      </c>
      <c r="AA261" s="439">
        <f t="shared" si="224"/>
        <v>276.27256763470416</v>
      </c>
      <c r="AB261" s="439">
        <f t="shared" si="224"/>
        <v>226.11892187482553</v>
      </c>
      <c r="AC261" s="439">
        <f t="shared" si="224"/>
        <v>-1265.4763874942921</v>
      </c>
      <c r="AD261" s="439">
        <f t="shared" si="224"/>
        <v>-570.8379718983872</v>
      </c>
      <c r="AE261" s="440">
        <f t="shared" si="224"/>
        <v>-394.53913832565524</v>
      </c>
      <c r="AF261" s="439">
        <f t="shared" si="224"/>
        <v>-1138.0199450673265</v>
      </c>
      <c r="AG261" s="439">
        <f t="shared" si="224"/>
        <v>-843.21805143265453</v>
      </c>
      <c r="AH261" s="439">
        <f t="shared" si="224"/>
        <v>727.84775846054163</v>
      </c>
      <c r="AI261" s="439">
        <f t="shared" si="224"/>
        <v>662.44590028005587</v>
      </c>
      <c r="AJ261" s="440">
        <f t="shared" si="224"/>
        <v>-6.6679421065152233</v>
      </c>
      <c r="AK261" s="439">
        <f t="shared" si="224"/>
        <v>-93.548218380698898</v>
      </c>
      <c r="AL261" s="439">
        <f t="shared" si="224"/>
        <v>-95.922307017777257</v>
      </c>
      <c r="AM261" s="439">
        <f t="shared" si="224"/>
        <v>-343.09182410514256</v>
      </c>
      <c r="AN261" s="439">
        <f t="shared" si="224"/>
        <v>-112.72785234850313</v>
      </c>
      <c r="AO261" s="440">
        <f t="shared" si="224"/>
        <v>-227.85708560274065</v>
      </c>
      <c r="AP261" s="439">
        <f t="shared" si="224"/>
        <v>816.09296997094054</v>
      </c>
      <c r="AQ261" s="439">
        <f t="shared" si="224"/>
        <v>648.53207972222276</v>
      </c>
      <c r="AR261" s="439">
        <f t="shared" si="224"/>
        <v>462.49292715365766</v>
      </c>
      <c r="AS261" s="439">
        <f t="shared" si="224"/>
        <v>38.809437740099092</v>
      </c>
      <c r="AT261" s="440">
        <f t="shared" si="224"/>
        <v>446.81359862856402</v>
      </c>
      <c r="AU261" s="439">
        <f t="shared" si="224"/>
        <v>70.241538971116128</v>
      </c>
      <c r="AV261" s="439">
        <f t="shared" si="224"/>
        <v>312.70231097110275</v>
      </c>
      <c r="AW261" s="726">
        <f t="shared" si="224"/>
        <v>308.39444455416253</v>
      </c>
      <c r="AX261" s="920">
        <f t="shared" si="224"/>
        <v>834.27740071233325</v>
      </c>
      <c r="AY261" s="591">
        <f t="shared" si="224"/>
        <v>429.27338565620755</v>
      </c>
      <c r="AZ261" s="920">
        <f t="shared" si="224"/>
        <v>651.96121115256972</v>
      </c>
      <c r="BA261" s="920">
        <f t="shared" si="224"/>
        <v>327.73602302332364</v>
      </c>
      <c r="BB261" s="920">
        <f t="shared" si="224"/>
        <v>158.84213447764029</v>
      </c>
      <c r="BC261" s="920">
        <f t="shared" si="224"/>
        <v>-16.554296676369873</v>
      </c>
      <c r="BD261" s="591">
        <f t="shared" si="224"/>
        <v>238.53920958404163</v>
      </c>
      <c r="BE261" s="591">
        <f>(BE259-BD259)*10000</f>
        <v>-6.9349600929852206</v>
      </c>
      <c r="BF261" s="591">
        <f>(BF259-BE259)*10000</f>
        <v>-10.967002631291356</v>
      </c>
      <c r="BG261" s="591">
        <f>(BG259-BF259)*10000</f>
        <v>-20.904153742990484</v>
      </c>
      <c r="BH261" s="592"/>
    </row>
    <row r="262" spans="1:60" s="926" customFormat="1" ht="7.5" customHeight="1" x14ac:dyDescent="0.25">
      <c r="A262" s="921"/>
      <c r="B262" s="922"/>
      <c r="C262" s="252"/>
      <c r="D262" s="252"/>
      <c r="E262" s="252"/>
      <c r="F262" s="252"/>
      <c r="G262" s="370"/>
      <c r="H262" s="370"/>
      <c r="I262" s="370"/>
      <c r="J262" s="370"/>
      <c r="K262" s="252"/>
      <c r="L262" s="370"/>
      <c r="M262" s="370"/>
      <c r="N262" s="370"/>
      <c r="O262" s="370"/>
      <c r="P262" s="252"/>
      <c r="Q262" s="370"/>
      <c r="R262" s="370"/>
      <c r="S262" s="370"/>
      <c r="T262" s="370"/>
      <c r="U262" s="252"/>
      <c r="V262" s="370"/>
      <c r="W262" s="370"/>
      <c r="X262" s="370"/>
      <c r="Y262" s="370"/>
      <c r="Z262" s="252"/>
      <c r="AA262" s="370"/>
      <c r="AB262" s="370"/>
      <c r="AC262" s="370"/>
      <c r="AD262" s="370"/>
      <c r="AE262" s="252"/>
      <c r="AF262" s="370"/>
      <c r="AG262" s="370"/>
      <c r="AH262" s="370"/>
      <c r="AI262" s="370"/>
      <c r="AJ262" s="252"/>
      <c r="AK262" s="370"/>
      <c r="AL262" s="370"/>
      <c r="AM262" s="370"/>
      <c r="AN262" s="370"/>
      <c r="AO262" s="252"/>
      <c r="AP262" s="370"/>
      <c r="AQ262" s="370"/>
      <c r="AR262" s="370"/>
      <c r="AS262" s="370"/>
      <c r="AT262" s="252"/>
      <c r="AU262" s="370"/>
      <c r="AV262" s="370"/>
      <c r="AW262" s="728"/>
      <c r="AX262" s="924"/>
      <c r="AY262" s="923"/>
      <c r="AZ262" s="924"/>
      <c r="BA262" s="924"/>
      <c r="BB262" s="924"/>
      <c r="BC262" s="924"/>
      <c r="BD262" s="923"/>
      <c r="BE262" s="923"/>
      <c r="BF262" s="923"/>
      <c r="BG262" s="923"/>
      <c r="BH262" s="925"/>
    </row>
    <row r="263" spans="1:60" s="596" customFormat="1" x14ac:dyDescent="0.25">
      <c r="A263" s="927" t="s">
        <v>758</v>
      </c>
      <c r="B263" s="928"/>
      <c r="C263" s="438">
        <f t="shared" ref="C263:AW263" si="225">C345</f>
        <v>42.15</v>
      </c>
      <c r="D263" s="438">
        <f t="shared" si="225"/>
        <v>84.572999999999993</v>
      </c>
      <c r="E263" s="438">
        <f t="shared" si="225"/>
        <v>104.102</v>
      </c>
      <c r="F263" s="438">
        <f t="shared" si="225"/>
        <v>150.37200000000001</v>
      </c>
      <c r="G263" s="437">
        <f t="shared" si="225"/>
        <v>47.045000000000002</v>
      </c>
      <c r="H263" s="437">
        <f t="shared" si="225"/>
        <v>59.963000000000001</v>
      </c>
      <c r="I263" s="437">
        <f t="shared" si="225"/>
        <v>77.070999999999998</v>
      </c>
      <c r="J263" s="437">
        <f t="shared" si="225"/>
        <v>101.49000000000002</v>
      </c>
      <c r="K263" s="438">
        <f t="shared" si="225"/>
        <v>285.56900000000002</v>
      </c>
      <c r="L263" s="437">
        <f t="shared" si="225"/>
        <v>117.551</v>
      </c>
      <c r="M263" s="437">
        <f t="shared" si="225"/>
        <v>134.03100000000001</v>
      </c>
      <c r="N263" s="437">
        <f t="shared" si="225"/>
        <v>155.107</v>
      </c>
      <c r="O263" s="437">
        <f t="shared" si="225"/>
        <v>196.97</v>
      </c>
      <c r="P263" s="438">
        <f t="shared" si="225"/>
        <v>603.66</v>
      </c>
      <c r="Q263" s="437">
        <f t="shared" si="225"/>
        <v>195.36500000000001</v>
      </c>
      <c r="R263" s="437">
        <f t="shared" si="225"/>
        <v>201.846</v>
      </c>
      <c r="S263" s="437">
        <f t="shared" si="225"/>
        <v>236.36699999999999</v>
      </c>
      <c r="T263" s="437">
        <f t="shared" si="225"/>
        <v>288.654</v>
      </c>
      <c r="U263" s="438">
        <f t="shared" si="225"/>
        <v>922.23199999999997</v>
      </c>
      <c r="V263" s="437">
        <f t="shared" si="225"/>
        <v>318.20999999999998</v>
      </c>
      <c r="W263" s="437">
        <f t="shared" si="225"/>
        <v>321.15199999999999</v>
      </c>
      <c r="X263" s="437">
        <f t="shared" si="225"/>
        <v>336.81099999999998</v>
      </c>
      <c r="Y263" s="437">
        <f t="shared" si="225"/>
        <v>456.01600000000002</v>
      </c>
      <c r="Z263" s="438">
        <f t="shared" si="225"/>
        <v>1432.1890000000001</v>
      </c>
      <c r="AA263" s="437">
        <f t="shared" si="225"/>
        <v>603.45500000000004</v>
      </c>
      <c r="AB263" s="437">
        <f t="shared" si="225"/>
        <v>537.75699999999995</v>
      </c>
      <c r="AC263" s="437">
        <f t="shared" si="225"/>
        <v>652.99800000000005</v>
      </c>
      <c r="AD263" s="437">
        <f t="shared" si="225"/>
        <v>682.29</v>
      </c>
      <c r="AE263" s="438">
        <f t="shared" si="225"/>
        <v>2476.5</v>
      </c>
      <c r="AF263" s="437">
        <f t="shared" si="225"/>
        <v>686.404</v>
      </c>
      <c r="AG263" s="437">
        <f t="shared" si="225"/>
        <v>750.75900000000001</v>
      </c>
      <c r="AH263" s="437">
        <f t="shared" si="225"/>
        <v>729.87599999999998</v>
      </c>
      <c r="AI263" s="437">
        <f t="shared" si="225"/>
        <v>667.45200000000023</v>
      </c>
      <c r="AJ263" s="438">
        <f t="shared" si="225"/>
        <v>2834.491</v>
      </c>
      <c r="AK263" s="437">
        <f t="shared" si="225"/>
        <v>703.92899999999997</v>
      </c>
      <c r="AL263" s="437">
        <f t="shared" si="225"/>
        <v>647.26099999999997</v>
      </c>
      <c r="AM263" s="437">
        <f t="shared" si="225"/>
        <v>596</v>
      </c>
      <c r="AN263" s="437">
        <f t="shared" si="225"/>
        <v>698.81</v>
      </c>
      <c r="AO263" s="438">
        <f t="shared" si="225"/>
        <v>2646</v>
      </c>
      <c r="AP263" s="437">
        <f t="shared" si="225"/>
        <v>627</v>
      </c>
      <c r="AQ263" s="437">
        <f t="shared" si="225"/>
        <v>661</v>
      </c>
      <c r="AR263" s="437">
        <f t="shared" si="225"/>
        <v>888</v>
      </c>
      <c r="AS263" s="437">
        <f t="shared" si="225"/>
        <v>969</v>
      </c>
      <c r="AT263" s="438">
        <f t="shared" si="225"/>
        <v>3145</v>
      </c>
      <c r="AU263" s="437">
        <f t="shared" si="225"/>
        <v>1056</v>
      </c>
      <c r="AV263" s="437">
        <f t="shared" si="225"/>
        <v>973</v>
      </c>
      <c r="AW263" s="725">
        <f t="shared" si="225"/>
        <v>994</v>
      </c>
      <c r="AX263" s="930">
        <f>AX255*AX265</f>
        <v>1439.6280077232302</v>
      </c>
      <c r="AY263" s="929">
        <f>SUM(AU263,AV263,AW263,AX263)</f>
        <v>4462.6280077232304</v>
      </c>
      <c r="AZ263" s="930">
        <f>AZ255*AZ265</f>
        <v>1747.5352002943366</v>
      </c>
      <c r="BA263" s="930">
        <f>BA255*BA265</f>
        <v>2103.0197139870188</v>
      </c>
      <c r="BB263" s="930">
        <f>BB255*BB265</f>
        <v>2483.3242410088005</v>
      </c>
      <c r="BC263" s="930">
        <f>BC255*BC265</f>
        <v>2973.1122025964469</v>
      </c>
      <c r="BD263" s="929">
        <f>SUM(AZ263,BA263,BB263,BC263)</f>
        <v>9306.9913578866035</v>
      </c>
      <c r="BE263" s="929">
        <f>BE255*BE265</f>
        <v>11337.9497697385</v>
      </c>
      <c r="BF263" s="929">
        <f>BF255*BF265</f>
        <v>13726.043350947948</v>
      </c>
      <c r="BG263" s="929">
        <f>BG255*BG265</f>
        <v>16623.372067391891</v>
      </c>
      <c r="BH263" s="595"/>
    </row>
    <row r="264" spans="1:60" s="936" customFormat="1" x14ac:dyDescent="0.25">
      <c r="A264" s="931" t="s">
        <v>759</v>
      </c>
      <c r="B264" s="932"/>
      <c r="C264" s="191"/>
      <c r="D264" s="191">
        <f>D263/C263-1</f>
        <v>1.0064768683274021</v>
      </c>
      <c r="E264" s="191">
        <f>E263/D263-1</f>
        <v>0.2309129391176854</v>
      </c>
      <c r="F264" s="191">
        <f>F263/E263-1</f>
        <v>0.44446792568826732</v>
      </c>
      <c r="G264" s="1004"/>
      <c r="H264" s="1004"/>
      <c r="I264" s="1004"/>
      <c r="J264" s="1004"/>
      <c r="K264" s="191">
        <f t="shared" ref="K264:BD264" si="226">K263/F263-1</f>
        <v>0.89908360599047699</v>
      </c>
      <c r="L264" s="1004">
        <f t="shared" si="226"/>
        <v>1.4986927409926665</v>
      </c>
      <c r="M264" s="1004">
        <f t="shared" si="226"/>
        <v>1.2352283908410189</v>
      </c>
      <c r="N264" s="1004">
        <f t="shared" si="226"/>
        <v>1.0125209222664817</v>
      </c>
      <c r="O264" s="1004">
        <f t="shared" si="226"/>
        <v>0.94078234308798847</v>
      </c>
      <c r="P264" s="191">
        <f t="shared" si="226"/>
        <v>1.1138849104769775</v>
      </c>
      <c r="Q264" s="1004">
        <f t="shared" si="226"/>
        <v>0.6619594899235226</v>
      </c>
      <c r="R264" s="1004">
        <f t="shared" si="226"/>
        <v>0.50596503793898417</v>
      </c>
      <c r="S264" s="1004">
        <f t="shared" si="226"/>
        <v>0.52389640699646045</v>
      </c>
      <c r="T264" s="1004">
        <f t="shared" si="226"/>
        <v>0.46547189927400101</v>
      </c>
      <c r="U264" s="191">
        <f t="shared" si="226"/>
        <v>0.5277341549879071</v>
      </c>
      <c r="V264" s="1004">
        <f t="shared" si="226"/>
        <v>0.62879737926445345</v>
      </c>
      <c r="W264" s="1004">
        <f t="shared" si="226"/>
        <v>0.59107438344084096</v>
      </c>
      <c r="X264" s="1004">
        <f t="shared" si="226"/>
        <v>0.42494933725943129</v>
      </c>
      <c r="Y264" s="1004">
        <f t="shared" si="226"/>
        <v>0.57980142315713623</v>
      </c>
      <c r="Z264" s="191">
        <f t="shared" si="226"/>
        <v>0.55295955898298921</v>
      </c>
      <c r="AA264" s="1004">
        <f t="shared" si="226"/>
        <v>0.89640488985261335</v>
      </c>
      <c r="AB264" s="1004">
        <f t="shared" si="226"/>
        <v>0.67446255978477465</v>
      </c>
      <c r="AC264" s="1004">
        <f t="shared" si="226"/>
        <v>0.93876684550088951</v>
      </c>
      <c r="AD264" s="1004">
        <f t="shared" si="226"/>
        <v>0.49619750184204059</v>
      </c>
      <c r="AE264" s="191">
        <f t="shared" si="226"/>
        <v>0.72917121972030219</v>
      </c>
      <c r="AF264" s="1004">
        <f t="shared" si="226"/>
        <v>0.13745681119553232</v>
      </c>
      <c r="AG264" s="1004">
        <f t="shared" si="226"/>
        <v>0.39609340278229777</v>
      </c>
      <c r="AH264" s="1004">
        <f t="shared" si="226"/>
        <v>0.11773083531649386</v>
      </c>
      <c r="AI264" s="1004">
        <f t="shared" si="226"/>
        <v>-2.1747350833222989E-2</v>
      </c>
      <c r="AJ264" s="191">
        <f t="shared" si="226"/>
        <v>0.14455521905915614</v>
      </c>
      <c r="AK264" s="1004">
        <f t="shared" si="226"/>
        <v>2.5531611121147213E-2</v>
      </c>
      <c r="AL264" s="1004">
        <f t="shared" si="226"/>
        <v>-0.13785782121826051</v>
      </c>
      <c r="AM264" s="1004">
        <f t="shared" si="226"/>
        <v>-0.18342293759487915</v>
      </c>
      <c r="AN264" s="1004">
        <f t="shared" si="226"/>
        <v>4.6981655609691364E-2</v>
      </c>
      <c r="AO264" s="191">
        <f t="shared" si="226"/>
        <v>-6.6499064558680931E-2</v>
      </c>
      <c r="AP264" s="1004">
        <f t="shared" si="226"/>
        <v>-0.10928516938498056</v>
      </c>
      <c r="AQ264" s="1004">
        <f t="shared" si="226"/>
        <v>2.1226367724920925E-2</v>
      </c>
      <c r="AR264" s="1004">
        <f t="shared" si="226"/>
        <v>0.48993288590604034</v>
      </c>
      <c r="AS264" s="1004">
        <f t="shared" si="226"/>
        <v>0.38664300739829138</v>
      </c>
      <c r="AT264" s="191">
        <f t="shared" si="226"/>
        <v>0.18858654572940292</v>
      </c>
      <c r="AU264" s="1004">
        <f t="shared" si="226"/>
        <v>0.68421052631578938</v>
      </c>
      <c r="AV264" s="1004">
        <f t="shared" si="226"/>
        <v>0.47201210287443263</v>
      </c>
      <c r="AW264" s="820">
        <f t="shared" si="226"/>
        <v>0.11936936936936937</v>
      </c>
      <c r="AX264" s="934">
        <f t="shared" si="226"/>
        <v>0.48568421849662569</v>
      </c>
      <c r="AY264" s="933">
        <f t="shared" si="226"/>
        <v>0.41895962089768846</v>
      </c>
      <c r="AZ264" s="934">
        <f t="shared" si="226"/>
        <v>0.65486287906660667</v>
      </c>
      <c r="BA264" s="934">
        <f t="shared" si="226"/>
        <v>1.161376890017491</v>
      </c>
      <c r="BB264" s="934">
        <f t="shared" si="226"/>
        <v>1.4983141257633807</v>
      </c>
      <c r="BC264" s="934">
        <f t="shared" si="226"/>
        <v>1.0651947493703045</v>
      </c>
      <c r="BD264" s="933">
        <f t="shared" si="226"/>
        <v>1.0855404801340138</v>
      </c>
      <c r="BE264" s="933">
        <f>BE263/BD263-1</f>
        <v>0.21821857717004245</v>
      </c>
      <c r="BF264" s="933">
        <f>BF263/BE263-1</f>
        <v>0.21062834372254668</v>
      </c>
      <c r="BG264" s="933">
        <f>BG263/BF263-1</f>
        <v>0.21108258529897816</v>
      </c>
      <c r="BH264" s="935"/>
    </row>
    <row r="265" spans="1:60" s="942" customFormat="1" x14ac:dyDescent="0.25">
      <c r="A265" s="937" t="s">
        <v>82</v>
      </c>
      <c r="B265" s="938"/>
      <c r="C265" s="100">
        <f t="shared" ref="C265:AW265" si="227">C263/C255</f>
        <v>0.37653091305396497</v>
      </c>
      <c r="D265" s="100">
        <f t="shared" si="227"/>
        <v>0.72443123415336119</v>
      </c>
      <c r="E265" s="100">
        <f t="shared" si="227"/>
        <v>0.50969927830710626</v>
      </c>
      <c r="F265" s="100">
        <f t="shared" si="227"/>
        <v>0.36387130495383008</v>
      </c>
      <c r="G265" s="1005">
        <f t="shared" si="227"/>
        <v>8.3740957507404873E-2</v>
      </c>
      <c r="H265" s="1005">
        <f t="shared" si="227"/>
        <v>0.14800599300486994</v>
      </c>
      <c r="I265" s="1005">
        <f t="shared" si="227"/>
        <v>0.17867558757934465</v>
      </c>
      <c r="J265" s="1005">
        <f t="shared" si="227"/>
        <v>0.16496564637958194</v>
      </c>
      <c r="K265" s="100">
        <f t="shared" si="227"/>
        <v>0.14182744837834294</v>
      </c>
      <c r="L265" s="1005">
        <f t="shared" si="227"/>
        <v>0.18943278617724504</v>
      </c>
      <c r="M265" s="1005">
        <f t="shared" si="227"/>
        <v>0.17421352338145629</v>
      </c>
      <c r="N265" s="1005">
        <f t="shared" si="227"/>
        <v>0.18209235927513842</v>
      </c>
      <c r="O265" s="1005">
        <f t="shared" si="227"/>
        <v>0.20589320563919716</v>
      </c>
      <c r="P265" s="100">
        <f t="shared" si="227"/>
        <v>0.18874071554260999</v>
      </c>
      <c r="Q265" s="1005">
        <f t="shared" si="227"/>
        <v>0.2078616419117334</v>
      </c>
      <c r="R265" s="1005">
        <f t="shared" si="227"/>
        <v>0.21136237978755487</v>
      </c>
      <c r="S265" s="1005">
        <f t="shared" si="227"/>
        <v>0.25231615657314505</v>
      </c>
      <c r="T265" s="1005">
        <f t="shared" si="227"/>
        <v>0.23769660238146212</v>
      </c>
      <c r="U265" s="100">
        <f t="shared" si="227"/>
        <v>0.22793531923307442</v>
      </c>
      <c r="V265" s="1005">
        <f t="shared" si="227"/>
        <v>0.27741646382714585</v>
      </c>
      <c r="W265" s="1005">
        <f t="shared" si="227"/>
        <v>0.2528722056476409</v>
      </c>
      <c r="X265" s="1005">
        <f t="shared" si="227"/>
        <v>0.1465392118814707</v>
      </c>
      <c r="Y265" s="1005">
        <f t="shared" si="227"/>
        <v>0.19960159868267568</v>
      </c>
      <c r="Z265" s="100">
        <f t="shared" si="227"/>
        <v>0.20459457050238483</v>
      </c>
      <c r="AA265" s="1005">
        <f t="shared" si="227"/>
        <v>0.22381104266264137</v>
      </c>
      <c r="AB265" s="1005">
        <f t="shared" si="227"/>
        <v>0.19277505353000493</v>
      </c>
      <c r="AC265" s="1005">
        <f t="shared" si="227"/>
        <v>0.2187836196570816</v>
      </c>
      <c r="AD265" s="1005">
        <f t="shared" si="227"/>
        <v>0.20749341062675</v>
      </c>
      <c r="AE265" s="100">
        <f t="shared" si="227"/>
        <v>0.21060910295659802</v>
      </c>
      <c r="AF265" s="1005">
        <f t="shared" si="227"/>
        <v>0.20136525079127224</v>
      </c>
      <c r="AG265" s="1005">
        <f t="shared" si="227"/>
        <v>0.18758512439686767</v>
      </c>
      <c r="AH265" s="1005">
        <f t="shared" si="227"/>
        <v>0.10695073700844306</v>
      </c>
      <c r="AI265" s="1005">
        <f t="shared" si="227"/>
        <v>9.2369738576916618E-2</v>
      </c>
      <c r="AJ265" s="100">
        <f t="shared" si="227"/>
        <v>0.13207472177319626</v>
      </c>
      <c r="AK265" s="1005">
        <f t="shared" si="227"/>
        <v>0.1550004580020892</v>
      </c>
      <c r="AL265" s="1005">
        <f t="shared" si="227"/>
        <v>0.10193606728910262</v>
      </c>
      <c r="AM265" s="1005">
        <f t="shared" si="227"/>
        <v>9.4558146914167862E-2</v>
      </c>
      <c r="AN265" s="1005">
        <f t="shared" si="227"/>
        <v>9.4640201737302712E-2</v>
      </c>
      <c r="AO265" s="100">
        <f t="shared" si="227"/>
        <v>0.10765725445520384</v>
      </c>
      <c r="AP265" s="1005">
        <f t="shared" si="227"/>
        <v>0.10476190476190476</v>
      </c>
      <c r="AQ265" s="1005">
        <f t="shared" si="227"/>
        <v>0.10950960901259112</v>
      </c>
      <c r="AR265" s="1005">
        <f t="shared" si="227"/>
        <v>0.10124273172956333</v>
      </c>
      <c r="AS265" s="1005">
        <f t="shared" si="227"/>
        <v>9.0189873417721514E-2</v>
      </c>
      <c r="AT265" s="100">
        <f t="shared" si="227"/>
        <v>9.9727295788939629E-2</v>
      </c>
      <c r="AU265" s="1005">
        <f t="shared" si="227"/>
        <v>0.10164597170083742</v>
      </c>
      <c r="AV265" s="1005">
        <f t="shared" si="227"/>
        <v>8.1368121759491555E-2</v>
      </c>
      <c r="AW265" s="727">
        <f t="shared" si="227"/>
        <v>7.2254125172639377E-2</v>
      </c>
      <c r="AX265" s="940">
        <f>-AX266/10000+AS265</f>
        <v>8.5189873417721509E-2</v>
      </c>
      <c r="AY265" s="939">
        <f>AY263/AY255</f>
        <v>8.4195681782130813E-2</v>
      </c>
      <c r="AZ265" s="940">
        <f>-AZ266/10000+AU265</f>
        <v>8.1645971700837414E-2</v>
      </c>
      <c r="BA265" s="940">
        <f>-BA266/10000+AV265</f>
        <v>8.3368121759491556E-2</v>
      </c>
      <c r="BB265" s="940">
        <f>-BB266/10000+AW265</f>
        <v>8.2254125172639372E-2</v>
      </c>
      <c r="BC265" s="940">
        <f>-BC266/10000+AX265</f>
        <v>8.7189873417721511E-2</v>
      </c>
      <c r="BD265" s="939">
        <f>BD263/BD255</f>
        <v>8.3907483915351008E-2</v>
      </c>
      <c r="BE265" s="939">
        <f>-BE266/10000+BD265</f>
        <v>8.2907483915351007E-2</v>
      </c>
      <c r="BF265" s="939">
        <f>-BF266/10000+BE265</f>
        <v>8.1907483915351006E-2</v>
      </c>
      <c r="BG265" s="939">
        <f>-BG266/10000+BF265</f>
        <v>8.0907483915351006E-2</v>
      </c>
      <c r="BH265" s="941"/>
    </row>
    <row r="266" spans="1:60" s="944" customFormat="1" x14ac:dyDescent="0.25">
      <c r="A266" s="590" t="s">
        <v>760</v>
      </c>
      <c r="B266" s="919"/>
      <c r="C266" s="440"/>
      <c r="D266" s="440">
        <f>-(D265-C265)*10000</f>
        <v>-3479.0032109939621</v>
      </c>
      <c r="E266" s="440">
        <f>-(E265-D265)*10000</f>
        <v>2147.3195584625491</v>
      </c>
      <c r="F266" s="440">
        <f>-(F265-E265)*10000</f>
        <v>1458.2797335327618</v>
      </c>
      <c r="G266" s="439"/>
      <c r="H266" s="439"/>
      <c r="I266" s="439"/>
      <c r="J266" s="439"/>
      <c r="K266" s="440">
        <f t="shared" ref="K266:AW266" si="228">-(K265-F265)*10000</f>
        <v>2220.4385657548714</v>
      </c>
      <c r="L266" s="439">
        <f t="shared" si="228"/>
        <v>-1056.9182866984017</v>
      </c>
      <c r="M266" s="439">
        <f t="shared" si="228"/>
        <v>-262.07530376586351</v>
      </c>
      <c r="N266" s="439">
        <f t="shared" si="228"/>
        <v>-34.167716957937685</v>
      </c>
      <c r="O266" s="439">
        <f t="shared" si="228"/>
        <v>-409.27559259615219</v>
      </c>
      <c r="P266" s="440">
        <f t="shared" si="228"/>
        <v>-469.13267164267052</v>
      </c>
      <c r="Q266" s="439">
        <f t="shared" si="228"/>
        <v>-184.28855734488354</v>
      </c>
      <c r="R266" s="439">
        <f t="shared" si="228"/>
        <v>-371.48856406098577</v>
      </c>
      <c r="S266" s="439">
        <f t="shared" si="228"/>
        <v>-702.23797298006627</v>
      </c>
      <c r="T266" s="439">
        <f t="shared" si="228"/>
        <v>-318.03396742264954</v>
      </c>
      <c r="U266" s="440">
        <f t="shared" si="228"/>
        <v>-391.9460369046443</v>
      </c>
      <c r="V266" s="439">
        <f t="shared" si="228"/>
        <v>-695.54821915412458</v>
      </c>
      <c r="W266" s="439">
        <f t="shared" si="228"/>
        <v>-415.09825860086028</v>
      </c>
      <c r="X266" s="439">
        <f t="shared" si="228"/>
        <v>1057.7694469167434</v>
      </c>
      <c r="Y266" s="439">
        <f t="shared" si="228"/>
        <v>380.95003698786434</v>
      </c>
      <c r="Z266" s="440">
        <f t="shared" si="228"/>
        <v>233.40748730689586</v>
      </c>
      <c r="AA266" s="439">
        <f t="shared" si="228"/>
        <v>536.0542116450448</v>
      </c>
      <c r="AB266" s="439">
        <f t="shared" si="228"/>
        <v>600.97152117635972</v>
      </c>
      <c r="AC266" s="439">
        <f t="shared" si="228"/>
        <v>-722.44407775610887</v>
      </c>
      <c r="AD266" s="439">
        <f t="shared" si="228"/>
        <v>-78.918119440743169</v>
      </c>
      <c r="AE266" s="440">
        <f t="shared" si="228"/>
        <v>-60.145324542131839</v>
      </c>
      <c r="AF266" s="439">
        <f t="shared" si="228"/>
        <v>224.45791871369136</v>
      </c>
      <c r="AG266" s="439">
        <f t="shared" si="228"/>
        <v>51.899291331372609</v>
      </c>
      <c r="AH266" s="439">
        <f t="shared" si="228"/>
        <v>1118.3288264863854</v>
      </c>
      <c r="AI266" s="439">
        <f t="shared" si="228"/>
        <v>1151.2367204983339</v>
      </c>
      <c r="AJ266" s="440">
        <f t="shared" si="228"/>
        <v>785.34381183401752</v>
      </c>
      <c r="AK266" s="439">
        <f t="shared" si="228"/>
        <v>463.64792789183042</v>
      </c>
      <c r="AL266" s="439">
        <f t="shared" si="228"/>
        <v>856.49057107765043</v>
      </c>
      <c r="AM266" s="439">
        <f t="shared" si="228"/>
        <v>123.92590094275194</v>
      </c>
      <c r="AN266" s="439">
        <f t="shared" si="228"/>
        <v>-22.704631603860935</v>
      </c>
      <c r="AO266" s="440">
        <f t="shared" si="228"/>
        <v>244.17467317992421</v>
      </c>
      <c r="AP266" s="439">
        <f t="shared" si="228"/>
        <v>502.38553240184433</v>
      </c>
      <c r="AQ266" s="439">
        <f t="shared" si="228"/>
        <v>-75.735417234884949</v>
      </c>
      <c r="AR266" s="439">
        <f t="shared" si="228"/>
        <v>-66.845848153954663</v>
      </c>
      <c r="AS266" s="439">
        <f t="shared" si="228"/>
        <v>44.503283195811981</v>
      </c>
      <c r="AT266" s="440">
        <f t="shared" si="228"/>
        <v>79.299586662642113</v>
      </c>
      <c r="AU266" s="439">
        <f t="shared" si="228"/>
        <v>31.159330610673468</v>
      </c>
      <c r="AV266" s="439">
        <f t="shared" si="228"/>
        <v>281.41487253099564</v>
      </c>
      <c r="AW266" s="726">
        <f t="shared" si="228"/>
        <v>289.88606556923952</v>
      </c>
      <c r="AX266" s="1006">
        <v>50</v>
      </c>
      <c r="AY266" s="591">
        <f>-(AY265-AT265)*10000</f>
        <v>155.31614006808817</v>
      </c>
      <c r="AZ266" s="1006">
        <v>200</v>
      </c>
      <c r="BA266" s="1006">
        <v>-20</v>
      </c>
      <c r="BB266" s="1006">
        <v>-100</v>
      </c>
      <c r="BC266" s="1006">
        <v>-20</v>
      </c>
      <c r="BD266" s="591">
        <f>-(BD265-AY265)*10000</f>
        <v>2.8819786677980463</v>
      </c>
      <c r="BE266" s="1007">
        <v>10</v>
      </c>
      <c r="BF266" s="1007">
        <v>10</v>
      </c>
      <c r="BG266" s="1007">
        <v>10</v>
      </c>
      <c r="BH266" s="592"/>
    </row>
    <row r="267" spans="1:60" s="942" customFormat="1" ht="7.5" customHeight="1" x14ac:dyDescent="0.25">
      <c r="A267" s="937"/>
      <c r="B267" s="938"/>
      <c r="C267" s="100"/>
      <c r="D267" s="100"/>
      <c r="E267" s="100"/>
      <c r="F267" s="100"/>
      <c r="G267" s="1005"/>
      <c r="H267" s="1005"/>
      <c r="I267" s="1005"/>
      <c r="J267" s="1005"/>
      <c r="K267" s="100"/>
      <c r="L267" s="1005"/>
      <c r="M267" s="1005"/>
      <c r="N267" s="1005"/>
      <c r="O267" s="1005"/>
      <c r="P267" s="100"/>
      <c r="Q267" s="1005"/>
      <c r="R267" s="1005"/>
      <c r="S267" s="1005"/>
      <c r="T267" s="1005"/>
      <c r="U267" s="100"/>
      <c r="V267" s="1005"/>
      <c r="W267" s="1005"/>
      <c r="X267" s="1005"/>
      <c r="Y267" s="1005"/>
      <c r="Z267" s="100"/>
      <c r="AA267" s="1005"/>
      <c r="AB267" s="1005"/>
      <c r="AC267" s="1005"/>
      <c r="AD267" s="1005"/>
      <c r="AE267" s="100"/>
      <c r="AF267" s="1005"/>
      <c r="AG267" s="1005"/>
      <c r="AH267" s="1005"/>
      <c r="AI267" s="1005"/>
      <c r="AJ267" s="100"/>
      <c r="AK267" s="1005"/>
      <c r="AL267" s="1005"/>
      <c r="AM267" s="1005"/>
      <c r="AN267" s="1005"/>
      <c r="AO267" s="100"/>
      <c r="AP267" s="1005"/>
      <c r="AQ267" s="1005"/>
      <c r="AR267" s="1005"/>
      <c r="AS267" s="1005"/>
      <c r="AT267" s="100"/>
      <c r="AU267" s="1005"/>
      <c r="AV267" s="1005"/>
      <c r="AW267" s="727"/>
      <c r="AX267" s="940"/>
      <c r="AY267" s="939"/>
      <c r="AZ267" s="940"/>
      <c r="BA267" s="940"/>
      <c r="BB267" s="940"/>
      <c r="BC267" s="940"/>
      <c r="BD267" s="939"/>
      <c r="BE267" s="939"/>
      <c r="BF267" s="939"/>
      <c r="BG267" s="939"/>
      <c r="BH267" s="941"/>
    </row>
    <row r="268" spans="1:60" s="596" customFormat="1" x14ac:dyDescent="0.25">
      <c r="A268" s="927" t="s">
        <v>761</v>
      </c>
      <c r="B268" s="928"/>
      <c r="C268" s="438">
        <f t="shared" ref="C268:AW268" si="229">C344</f>
        <v>19.282</v>
      </c>
      <c r="D268" s="438">
        <f t="shared" si="229"/>
        <v>92.995999999999995</v>
      </c>
      <c r="E268" s="438">
        <f t="shared" si="229"/>
        <v>208.98099999999999</v>
      </c>
      <c r="F268" s="438">
        <f t="shared" si="229"/>
        <v>273.97800000000001</v>
      </c>
      <c r="G268" s="437">
        <f t="shared" si="229"/>
        <v>54.859000000000002</v>
      </c>
      <c r="H268" s="437">
        <f t="shared" si="229"/>
        <v>52.311999999999998</v>
      </c>
      <c r="I268" s="437">
        <f t="shared" si="229"/>
        <v>56.350999999999999</v>
      </c>
      <c r="J268" s="437">
        <f t="shared" si="229"/>
        <v>68.454000000000008</v>
      </c>
      <c r="K268" s="438">
        <f t="shared" si="229"/>
        <v>231.976</v>
      </c>
      <c r="L268" s="437">
        <f t="shared" si="229"/>
        <v>81.543999999999997</v>
      </c>
      <c r="M268" s="437">
        <f t="shared" si="229"/>
        <v>107.717</v>
      </c>
      <c r="N268" s="437">
        <f t="shared" si="229"/>
        <v>135.87299999999999</v>
      </c>
      <c r="O268" s="437">
        <f t="shared" si="229"/>
        <v>139.565</v>
      </c>
      <c r="P268" s="438">
        <f t="shared" si="229"/>
        <v>464.7</v>
      </c>
      <c r="Q268" s="437">
        <f t="shared" si="229"/>
        <v>167.154</v>
      </c>
      <c r="R268" s="437">
        <f t="shared" si="229"/>
        <v>181.71199999999999</v>
      </c>
      <c r="S268" s="437">
        <f t="shared" si="229"/>
        <v>178.791</v>
      </c>
      <c r="T268" s="437">
        <f t="shared" si="229"/>
        <v>190.24299999999999</v>
      </c>
      <c r="U268" s="438">
        <f t="shared" si="229"/>
        <v>717.9</v>
      </c>
      <c r="V268" s="437">
        <f t="shared" si="229"/>
        <v>182.482</v>
      </c>
      <c r="W268" s="437">
        <f t="shared" si="229"/>
        <v>191.66399999999999</v>
      </c>
      <c r="X268" s="437">
        <f t="shared" si="229"/>
        <v>214.30199999999999</v>
      </c>
      <c r="Y268" s="437">
        <f t="shared" si="229"/>
        <v>245.96</v>
      </c>
      <c r="Z268" s="438">
        <f t="shared" si="229"/>
        <v>834.40800000000002</v>
      </c>
      <c r="AA268" s="437">
        <f t="shared" si="229"/>
        <v>322.04000000000002</v>
      </c>
      <c r="AB268" s="437">
        <f t="shared" si="229"/>
        <v>369.774</v>
      </c>
      <c r="AC268" s="437">
        <f t="shared" si="229"/>
        <v>331.62200000000001</v>
      </c>
      <c r="AD268" s="437">
        <f t="shared" si="229"/>
        <v>354.637</v>
      </c>
      <c r="AE268" s="438">
        <f t="shared" si="229"/>
        <v>1378.0730000000001</v>
      </c>
      <c r="AF268" s="437">
        <f t="shared" si="229"/>
        <v>367.096</v>
      </c>
      <c r="AG268" s="437">
        <f t="shared" si="229"/>
        <v>386.12900000000002</v>
      </c>
      <c r="AH268" s="437">
        <f t="shared" si="229"/>
        <v>350.84800000000001</v>
      </c>
      <c r="AI268" s="437">
        <f t="shared" si="229"/>
        <v>356.2969999999998</v>
      </c>
      <c r="AJ268" s="438">
        <f t="shared" si="229"/>
        <v>1460.37</v>
      </c>
      <c r="AK268" s="437">
        <f t="shared" si="229"/>
        <v>340.17399999999998</v>
      </c>
      <c r="AL268" s="437">
        <f t="shared" si="229"/>
        <v>323.89800000000002</v>
      </c>
      <c r="AM268" s="437">
        <f t="shared" si="229"/>
        <v>334</v>
      </c>
      <c r="AN268" s="437">
        <f t="shared" si="229"/>
        <v>344.928</v>
      </c>
      <c r="AO268" s="438">
        <f t="shared" si="229"/>
        <v>1343</v>
      </c>
      <c r="AP268" s="437">
        <f t="shared" si="229"/>
        <v>324</v>
      </c>
      <c r="AQ268" s="437">
        <f t="shared" si="229"/>
        <v>279</v>
      </c>
      <c r="AR268" s="437">
        <f t="shared" si="229"/>
        <v>366</v>
      </c>
      <c r="AS268" s="437">
        <f t="shared" si="229"/>
        <v>522</v>
      </c>
      <c r="AT268" s="438">
        <f t="shared" si="229"/>
        <v>1491</v>
      </c>
      <c r="AU268" s="437">
        <f t="shared" si="229"/>
        <v>666</v>
      </c>
      <c r="AV268" s="437">
        <f t="shared" si="229"/>
        <v>576</v>
      </c>
      <c r="AW268" s="725">
        <f t="shared" si="229"/>
        <v>611</v>
      </c>
      <c r="AX268" s="930">
        <f>AX255*AX270</f>
        <v>905.53998405560935</v>
      </c>
      <c r="AY268" s="929">
        <f>SUM(AU268,AV268,AW268,AX268)</f>
        <v>2758.5399840556092</v>
      </c>
      <c r="AZ268" s="930">
        <f>AZ255*AZ270</f>
        <v>1051.061393810757</v>
      </c>
      <c r="BA268" s="930">
        <f>BA255*BA270</f>
        <v>1189.8609767690216</v>
      </c>
      <c r="BB268" s="930">
        <f>BB255*BB270</f>
        <v>1280.5084334944027</v>
      </c>
      <c r="BC268" s="930">
        <f>BC255*BC270</f>
        <v>1724.9210100737191</v>
      </c>
      <c r="BD268" s="929">
        <f>SUM(AZ268,BA268,BB268,BC268)</f>
        <v>5246.3518141478999</v>
      </c>
      <c r="BE268" s="929">
        <f>BE255*BE270</f>
        <v>6331.5373799629133</v>
      </c>
      <c r="BF268" s="929">
        <f>BF255*BF270</f>
        <v>7591.1416523955486</v>
      </c>
      <c r="BG268" s="929">
        <f>BG255*BG270</f>
        <v>9101.6677476316727</v>
      </c>
      <c r="BH268" s="595"/>
    </row>
    <row r="269" spans="1:60" s="936" customFormat="1" x14ac:dyDescent="0.25">
      <c r="A269" s="931" t="s">
        <v>762</v>
      </c>
      <c r="B269" s="932"/>
      <c r="C269" s="191"/>
      <c r="D269" s="191">
        <f>D268/C268-1</f>
        <v>3.822943678041697</v>
      </c>
      <c r="E269" s="191">
        <f>E268/D268-1</f>
        <v>1.2472041808249816</v>
      </c>
      <c r="F269" s="191">
        <f>F268/E268-1</f>
        <v>0.3110187050497415</v>
      </c>
      <c r="G269" s="1004"/>
      <c r="H269" s="1004"/>
      <c r="I269" s="1004"/>
      <c r="J269" s="1004"/>
      <c r="K269" s="191">
        <f t="shared" ref="K269:BD269" si="230">K268/F268-1</f>
        <v>-0.15330427990568585</v>
      </c>
      <c r="L269" s="1004">
        <f t="shared" si="230"/>
        <v>0.48642884485681459</v>
      </c>
      <c r="M269" s="1004">
        <f t="shared" si="230"/>
        <v>1.0591260131518583</v>
      </c>
      <c r="N269" s="1004">
        <f t="shared" si="230"/>
        <v>1.4111905733704813</v>
      </c>
      <c r="O269" s="1004">
        <f t="shared" si="230"/>
        <v>1.0388143863032107</v>
      </c>
      <c r="P269" s="191">
        <f t="shared" si="230"/>
        <v>1.0032244714970515</v>
      </c>
      <c r="Q269" s="1004">
        <f t="shared" si="230"/>
        <v>1.0498626508388109</v>
      </c>
      <c r="R269" s="1004">
        <f t="shared" si="230"/>
        <v>0.68693892328973138</v>
      </c>
      <c r="S269" s="1004">
        <f t="shared" si="230"/>
        <v>0.31586849484445034</v>
      </c>
      <c r="T269" s="1004">
        <f t="shared" si="230"/>
        <v>0.36311396123669981</v>
      </c>
      <c r="U269" s="191">
        <f t="shared" si="230"/>
        <v>0.54486765655261449</v>
      </c>
      <c r="V269" s="1004">
        <f t="shared" si="230"/>
        <v>9.169986958134424E-2</v>
      </c>
      <c r="W269" s="1004">
        <f t="shared" si="230"/>
        <v>5.4767984502949618E-2</v>
      </c>
      <c r="X269" s="1004">
        <f t="shared" si="230"/>
        <v>0.19861738006946661</v>
      </c>
      <c r="Y269" s="1004">
        <f t="shared" si="230"/>
        <v>0.29287279952481837</v>
      </c>
      <c r="Z269" s="191">
        <f t="shared" si="230"/>
        <v>0.16229001253656494</v>
      </c>
      <c r="AA269" s="1004">
        <f t="shared" si="230"/>
        <v>0.76477679990355218</v>
      </c>
      <c r="AB269" s="1004">
        <f t="shared" si="230"/>
        <v>0.92928249436513921</v>
      </c>
      <c r="AC269" s="1004">
        <f t="shared" si="230"/>
        <v>0.54745172700208133</v>
      </c>
      <c r="AD269" s="1004">
        <f t="shared" si="230"/>
        <v>0.4418482680110587</v>
      </c>
      <c r="AE269" s="191">
        <f t="shared" si="230"/>
        <v>0.65155775112415037</v>
      </c>
      <c r="AF269" s="1004">
        <f t="shared" si="230"/>
        <v>0.13990808595205562</v>
      </c>
      <c r="AG269" s="1004">
        <f t="shared" si="230"/>
        <v>4.4229718693039599E-2</v>
      </c>
      <c r="AH269" s="1004">
        <f t="shared" si="230"/>
        <v>5.7975646971551997E-2</v>
      </c>
      <c r="AI269" s="1004">
        <f t="shared" si="230"/>
        <v>4.6808426644704415E-3</v>
      </c>
      <c r="AJ269" s="191">
        <f t="shared" si="230"/>
        <v>5.9718897329821941E-2</v>
      </c>
      <c r="AK269" s="1004">
        <f t="shared" si="230"/>
        <v>-7.3337764508466519E-2</v>
      </c>
      <c r="AL269" s="1004">
        <f t="shared" si="230"/>
        <v>-0.16116634596210078</v>
      </c>
      <c r="AM269" s="1004">
        <f t="shared" si="230"/>
        <v>-4.8020795330171451E-2</v>
      </c>
      <c r="AN269" s="1004">
        <f t="shared" si="230"/>
        <v>-3.1908772737350599E-2</v>
      </c>
      <c r="AO269" s="191">
        <f t="shared" si="230"/>
        <v>-8.0370043208227937E-2</v>
      </c>
      <c r="AP269" s="1004">
        <f t="shared" si="230"/>
        <v>-4.7546255739709609E-2</v>
      </c>
      <c r="AQ269" s="1004">
        <f t="shared" si="230"/>
        <v>-0.13861771298371717</v>
      </c>
      <c r="AR269" s="1004">
        <f t="shared" si="230"/>
        <v>9.5808383233533023E-2</v>
      </c>
      <c r="AS269" s="1004">
        <f t="shared" si="230"/>
        <v>0.51335930976899524</v>
      </c>
      <c r="AT269" s="191">
        <f t="shared" si="230"/>
        <v>0.11020104244229345</v>
      </c>
      <c r="AU269" s="1004">
        <f t="shared" si="230"/>
        <v>1.0555555555555554</v>
      </c>
      <c r="AV269" s="1004">
        <f t="shared" si="230"/>
        <v>1.064516129032258</v>
      </c>
      <c r="AW269" s="820">
        <f t="shared" si="230"/>
        <v>0.6693989071038251</v>
      </c>
      <c r="AX269" s="934">
        <f t="shared" si="230"/>
        <v>0.73475092730959646</v>
      </c>
      <c r="AY269" s="933">
        <f t="shared" si="230"/>
        <v>0.85012742056043544</v>
      </c>
      <c r="AZ269" s="934">
        <f t="shared" si="230"/>
        <v>0.57817026097711244</v>
      </c>
      <c r="BA269" s="934">
        <f t="shared" si="230"/>
        <v>1.0657308624462178</v>
      </c>
      <c r="BB269" s="934">
        <f t="shared" si="230"/>
        <v>1.0957584836242269</v>
      </c>
      <c r="BC269" s="934">
        <f t="shared" si="230"/>
        <v>0.90485350226985828</v>
      </c>
      <c r="BD269" s="933">
        <f t="shared" si="230"/>
        <v>0.90185817297261228</v>
      </c>
      <c r="BE269" s="933">
        <f>BE268/BD268-1</f>
        <v>0.20684574810415501</v>
      </c>
      <c r="BF269" s="933">
        <f>BF268/BE268-1</f>
        <v>0.19894129922044512</v>
      </c>
      <c r="BG269" s="933">
        <f>BG268/BF268-1</f>
        <v>0.19898536536456879</v>
      </c>
      <c r="BH269" s="935"/>
    </row>
    <row r="270" spans="1:60" s="942" customFormat="1" x14ac:dyDescent="0.25">
      <c r="A270" s="937" t="s">
        <v>83</v>
      </c>
      <c r="B270" s="938"/>
      <c r="C270" s="100">
        <f t="shared" ref="C270:AW270" si="231">C268/C255</f>
        <v>0.17224837640584942</v>
      </c>
      <c r="D270" s="100">
        <f t="shared" si="231"/>
        <v>0.79658055231960523</v>
      </c>
      <c r="E270" s="100">
        <f t="shared" si="231"/>
        <v>1.0232028671869644</v>
      </c>
      <c r="F270" s="100">
        <f t="shared" si="231"/>
        <v>0.66297404030431495</v>
      </c>
      <c r="G270" s="1005">
        <f t="shared" si="231"/>
        <v>9.7650019936204147E-2</v>
      </c>
      <c r="H270" s="1005">
        <f t="shared" si="231"/>
        <v>0.12912111645632732</v>
      </c>
      <c r="I270" s="1005">
        <f t="shared" si="231"/>
        <v>0.1306399039286327</v>
      </c>
      <c r="J270" s="1005">
        <f t="shared" si="231"/>
        <v>0.11126769491839492</v>
      </c>
      <c r="K270" s="100">
        <f t="shared" si="231"/>
        <v>0.11521055914687688</v>
      </c>
      <c r="L270" s="1005">
        <f t="shared" si="231"/>
        <v>0.13140770487734915</v>
      </c>
      <c r="M270" s="1005">
        <f t="shared" si="231"/>
        <v>0.14001058037379654</v>
      </c>
      <c r="N270" s="1005">
        <f t="shared" si="231"/>
        <v>0.15951204737240021</v>
      </c>
      <c r="O270" s="1005">
        <f t="shared" si="231"/>
        <v>0.14588762372460046</v>
      </c>
      <c r="P270" s="100">
        <f t="shared" si="231"/>
        <v>0.14529339448141482</v>
      </c>
      <c r="Q270" s="1005">
        <f t="shared" si="231"/>
        <v>0.17784610801378897</v>
      </c>
      <c r="R270" s="1005">
        <f t="shared" si="231"/>
        <v>0.19027912743356901</v>
      </c>
      <c r="S270" s="1005">
        <f t="shared" si="231"/>
        <v>0.19085514454162036</v>
      </c>
      <c r="T270" s="1005">
        <f t="shared" si="231"/>
        <v>0.15665854180734201</v>
      </c>
      <c r="U270" s="100">
        <f t="shared" si="231"/>
        <v>0.17743340686229075</v>
      </c>
      <c r="V270" s="1005">
        <f t="shared" si="231"/>
        <v>0.15908837293644207</v>
      </c>
      <c r="W270" s="1005">
        <f t="shared" si="231"/>
        <v>0.15091451531751149</v>
      </c>
      <c r="X270" s="1005">
        <f t="shared" si="231"/>
        <v>9.3238184574206115E-2</v>
      </c>
      <c r="Y270" s="1005">
        <f t="shared" si="231"/>
        <v>0.10765852341143932</v>
      </c>
      <c r="Z270" s="100">
        <f t="shared" si="231"/>
        <v>0.11919889510654944</v>
      </c>
      <c r="AA270" s="1005">
        <f t="shared" si="231"/>
        <v>0.11943907694704166</v>
      </c>
      <c r="AB270" s="1005">
        <f t="shared" si="231"/>
        <v>0.13255653137756282</v>
      </c>
      <c r="AC270" s="1005">
        <f t="shared" si="231"/>
        <v>0.11110824461624799</v>
      </c>
      <c r="AD270" s="1005">
        <f t="shared" si="231"/>
        <v>0.10784980091227887</v>
      </c>
      <c r="AE270" s="100">
        <f t="shared" si="231"/>
        <v>0.11719552527304984</v>
      </c>
      <c r="AF270" s="1005">
        <f t="shared" si="231"/>
        <v>0.10769223096670894</v>
      </c>
      <c r="AG270" s="1005">
        <f t="shared" si="231"/>
        <v>9.6478439150563797E-2</v>
      </c>
      <c r="AH270" s="1005">
        <f t="shared" si="231"/>
        <v>5.1410722065033283E-2</v>
      </c>
      <c r="AI270" s="1005">
        <f t="shared" si="231"/>
        <v>4.9308505698896145E-2</v>
      </c>
      <c r="AJ270" s="100">
        <f t="shared" si="231"/>
        <v>6.8046771514152837E-2</v>
      </c>
      <c r="AK270" s="1005">
        <f t="shared" si="231"/>
        <v>7.4904039754581334E-2</v>
      </c>
      <c r="AL270" s="1005">
        <f t="shared" si="231"/>
        <v>5.1010161778333264E-2</v>
      </c>
      <c r="AM270" s="1005">
        <f t="shared" si="231"/>
        <v>5.2990639378073932E-2</v>
      </c>
      <c r="AN270" s="1005">
        <f t="shared" si="231"/>
        <v>4.6713778430251929E-2</v>
      </c>
      <c r="AO270" s="100">
        <f t="shared" si="231"/>
        <v>5.4642363088941333E-2</v>
      </c>
      <c r="AP270" s="1005">
        <f t="shared" si="231"/>
        <v>5.4135338345864661E-2</v>
      </c>
      <c r="AQ270" s="1005">
        <f t="shared" si="231"/>
        <v>4.6222664015904573E-2</v>
      </c>
      <c r="AR270" s="1005">
        <f t="shared" si="231"/>
        <v>4.1728423212860563E-2</v>
      </c>
      <c r="AS270" s="1005">
        <f t="shared" si="231"/>
        <v>4.8585256887565154E-2</v>
      </c>
      <c r="AT270" s="100">
        <f t="shared" si="231"/>
        <v>4.7279299847792999E-2</v>
      </c>
      <c r="AU270" s="1005">
        <f t="shared" si="231"/>
        <v>6.410626624314178E-2</v>
      </c>
      <c r="AV270" s="1005">
        <f t="shared" si="231"/>
        <v>4.8168590065228299E-2</v>
      </c>
      <c r="AW270" s="727">
        <f t="shared" si="231"/>
        <v>4.4413752998473506E-2</v>
      </c>
      <c r="AX270" s="940">
        <f>-AX271/10000+AS270</f>
        <v>5.3585256887565151E-2</v>
      </c>
      <c r="AY270" s="939">
        <f>AY268/AY255</f>
        <v>5.204492829760296E-2</v>
      </c>
      <c r="AZ270" s="940">
        <f>-AZ271/10000+AU270</f>
        <v>4.910626624314178E-2</v>
      </c>
      <c r="BA270" s="940">
        <f>-BA271/10000+AV270</f>
        <v>4.7168590065228298E-2</v>
      </c>
      <c r="BB270" s="940">
        <f>-BB271/10000+AW270</f>
        <v>4.2413752998473504E-2</v>
      </c>
      <c r="BC270" s="940">
        <f>-BC271/10000+AX270</f>
        <v>5.0585256887565148E-2</v>
      </c>
      <c r="BD270" s="939">
        <f>BD268/BD255</f>
        <v>4.7298655766652424E-2</v>
      </c>
      <c r="BE270" s="939">
        <f>-BE271/10000+BD270</f>
        <v>4.6298655766652423E-2</v>
      </c>
      <c r="BF270" s="939">
        <f>-BF271/10000+BE270</f>
        <v>4.5298655766652422E-2</v>
      </c>
      <c r="BG270" s="939">
        <f>-BG271/10000+BF270</f>
        <v>4.4298655766652421E-2</v>
      </c>
      <c r="BH270" s="941"/>
    </row>
    <row r="271" spans="1:60" s="944" customFormat="1" x14ac:dyDescent="0.25">
      <c r="A271" s="943" t="s">
        <v>763</v>
      </c>
      <c r="B271" s="919"/>
      <c r="C271" s="440"/>
      <c r="D271" s="440">
        <f>-(D270-C270)*10000</f>
        <v>-6243.3217591375578</v>
      </c>
      <c r="E271" s="440">
        <f>-(E270-D270)*10000</f>
        <v>-2266.2231486735918</v>
      </c>
      <c r="F271" s="440">
        <f>-(F270-E270)*10000</f>
        <v>3602.2882688264945</v>
      </c>
      <c r="G271" s="439"/>
      <c r="H271" s="439"/>
      <c r="I271" s="439"/>
      <c r="J271" s="439"/>
      <c r="K271" s="440">
        <f t="shared" ref="K271:AW271" si="232">-(K270-F270)*10000</f>
        <v>5477.6348115743813</v>
      </c>
      <c r="L271" s="439">
        <f t="shared" si="232"/>
        <v>-337.57684941145004</v>
      </c>
      <c r="M271" s="439">
        <f t="shared" si="232"/>
        <v>-108.89463917469227</v>
      </c>
      <c r="N271" s="439">
        <f t="shared" si="232"/>
        <v>-288.7214344376751</v>
      </c>
      <c r="O271" s="439">
        <f t="shared" si="232"/>
        <v>-346.19928806205542</v>
      </c>
      <c r="P271" s="440">
        <f t="shared" si="232"/>
        <v>-300.82835334537941</v>
      </c>
      <c r="Q271" s="439">
        <f t="shared" si="232"/>
        <v>-464.3840313643982</v>
      </c>
      <c r="R271" s="439">
        <f t="shared" si="232"/>
        <v>-502.68547059772459</v>
      </c>
      <c r="S271" s="439">
        <f t="shared" si="232"/>
        <v>-313.43097169220152</v>
      </c>
      <c r="T271" s="439">
        <f t="shared" si="232"/>
        <v>-107.70918082741554</v>
      </c>
      <c r="U271" s="440">
        <f t="shared" si="232"/>
        <v>-321.40012380875936</v>
      </c>
      <c r="V271" s="439">
        <f t="shared" si="232"/>
        <v>187.57735077346905</v>
      </c>
      <c r="W271" s="439">
        <f t="shared" si="232"/>
        <v>393.64612116057521</v>
      </c>
      <c r="X271" s="439">
        <f t="shared" si="232"/>
        <v>976.16959967414255</v>
      </c>
      <c r="Y271" s="439">
        <f t="shared" si="232"/>
        <v>490.00018395902691</v>
      </c>
      <c r="Z271" s="440">
        <f t="shared" si="232"/>
        <v>582.34511755741323</v>
      </c>
      <c r="AA271" s="439">
        <f t="shared" si="232"/>
        <v>396.49295989400412</v>
      </c>
      <c r="AB271" s="439">
        <f t="shared" si="232"/>
        <v>183.5798393994867</v>
      </c>
      <c r="AC271" s="439">
        <f t="shared" si="232"/>
        <v>-178.70060042041877</v>
      </c>
      <c r="AD271" s="439">
        <f t="shared" si="232"/>
        <v>-1.9127750083955397</v>
      </c>
      <c r="AE271" s="440">
        <f t="shared" si="232"/>
        <v>20.033698334995936</v>
      </c>
      <c r="AF271" s="439">
        <f t="shared" si="232"/>
        <v>117.46845980332724</v>
      </c>
      <c r="AG271" s="439">
        <f t="shared" si="232"/>
        <v>360.78092226999024</v>
      </c>
      <c r="AH271" s="439">
        <f t="shared" si="232"/>
        <v>596.97522551214706</v>
      </c>
      <c r="AI271" s="439">
        <f t="shared" si="232"/>
        <v>585.41295213382728</v>
      </c>
      <c r="AJ271" s="440">
        <f t="shared" si="232"/>
        <v>491.48753758897004</v>
      </c>
      <c r="AK271" s="439">
        <f t="shared" si="232"/>
        <v>327.881912121276</v>
      </c>
      <c r="AL271" s="439">
        <f t="shared" si="232"/>
        <v>454.68277372230534</v>
      </c>
      <c r="AM271" s="439">
        <f t="shared" si="232"/>
        <v>-15.799173130406491</v>
      </c>
      <c r="AN271" s="439">
        <f t="shared" si="232"/>
        <v>25.947272686442162</v>
      </c>
      <c r="AO271" s="440">
        <f t="shared" si="232"/>
        <v>134.04408425211506</v>
      </c>
      <c r="AP271" s="439">
        <f t="shared" si="232"/>
        <v>207.68701408716672</v>
      </c>
      <c r="AQ271" s="439">
        <f t="shared" si="232"/>
        <v>47.874977624286913</v>
      </c>
      <c r="AR271" s="439">
        <f t="shared" si="232"/>
        <v>112.6221616521337</v>
      </c>
      <c r="AS271" s="439">
        <f t="shared" si="232"/>
        <v>-18.714784573132249</v>
      </c>
      <c r="AT271" s="440">
        <f t="shared" si="232"/>
        <v>73.630632411483333</v>
      </c>
      <c r="AU271" s="439">
        <f t="shared" si="232"/>
        <v>-99.709278972771187</v>
      </c>
      <c r="AV271" s="439">
        <f t="shared" si="232"/>
        <v>-19.459260493237263</v>
      </c>
      <c r="AW271" s="726">
        <f t="shared" si="232"/>
        <v>-26.85329785612943</v>
      </c>
      <c r="AX271" s="1006">
        <v>-50</v>
      </c>
      <c r="AY271" s="591">
        <f>-(AY270-AT270)*10000</f>
        <v>-47.656284498099609</v>
      </c>
      <c r="AZ271" s="1006">
        <v>150</v>
      </c>
      <c r="BA271" s="1006">
        <v>10</v>
      </c>
      <c r="BB271" s="1006">
        <v>20</v>
      </c>
      <c r="BC271" s="1006">
        <v>30</v>
      </c>
      <c r="BD271" s="591">
        <f>-(BD270-AY270)*10000</f>
        <v>47.462725309505366</v>
      </c>
      <c r="BE271" s="1007">
        <v>10</v>
      </c>
      <c r="BF271" s="1007">
        <v>10</v>
      </c>
      <c r="BG271" s="1007">
        <v>10</v>
      </c>
      <c r="BH271" s="592"/>
    </row>
    <row r="272" spans="1:60" s="944" customFormat="1" ht="7.5" customHeight="1" x14ac:dyDescent="0.25">
      <c r="A272" s="943"/>
      <c r="B272" s="919"/>
      <c r="C272" s="440"/>
      <c r="D272" s="440"/>
      <c r="E272" s="440"/>
      <c r="F272" s="440"/>
      <c r="G272" s="439"/>
      <c r="H272" s="439"/>
      <c r="I272" s="439"/>
      <c r="J272" s="439"/>
      <c r="K272" s="440"/>
      <c r="L272" s="439"/>
      <c r="M272" s="439"/>
      <c r="N272" s="439"/>
      <c r="O272" s="439"/>
      <c r="P272" s="440"/>
      <c r="Q272" s="439"/>
      <c r="R272" s="439"/>
      <c r="S272" s="439"/>
      <c r="T272" s="439"/>
      <c r="U272" s="440"/>
      <c r="V272" s="439"/>
      <c r="W272" s="439"/>
      <c r="X272" s="439"/>
      <c r="Y272" s="439"/>
      <c r="Z272" s="440"/>
      <c r="AA272" s="439"/>
      <c r="AB272" s="439"/>
      <c r="AC272" s="439"/>
      <c r="AD272" s="439"/>
      <c r="AE272" s="440"/>
      <c r="AF272" s="439"/>
      <c r="AG272" s="439"/>
      <c r="AH272" s="439"/>
      <c r="AI272" s="439"/>
      <c r="AJ272" s="440"/>
      <c r="AK272" s="439"/>
      <c r="AL272" s="439"/>
      <c r="AM272" s="439"/>
      <c r="AN272" s="439"/>
      <c r="AO272" s="440"/>
      <c r="AP272" s="439"/>
      <c r="AQ272" s="439"/>
      <c r="AR272" s="439"/>
      <c r="AS272" s="439"/>
      <c r="AT272" s="440"/>
      <c r="AU272" s="439"/>
      <c r="AV272" s="439"/>
      <c r="AW272" s="726"/>
      <c r="AX272" s="920"/>
      <c r="AY272" s="591"/>
      <c r="AZ272" s="920"/>
      <c r="BA272" s="920"/>
      <c r="BB272" s="920"/>
      <c r="BC272" s="920"/>
      <c r="BD272" s="591"/>
      <c r="BE272" s="591"/>
      <c r="BF272" s="591"/>
      <c r="BG272" s="591"/>
      <c r="BH272" s="592"/>
    </row>
    <row r="273" spans="1:60" s="1039" customFormat="1" x14ac:dyDescent="0.25">
      <c r="A273" s="943" t="s">
        <v>815</v>
      </c>
      <c r="B273" s="1037"/>
      <c r="C273" s="1051">
        <f t="shared" ref="C273:AW273" si="233">C389</f>
        <v>0</v>
      </c>
      <c r="D273" s="1051">
        <f t="shared" si="233"/>
        <v>0</v>
      </c>
      <c r="E273" s="1051">
        <f t="shared" si="233"/>
        <v>0</v>
      </c>
      <c r="F273" s="1051">
        <f t="shared" si="233"/>
        <v>0</v>
      </c>
      <c r="G273" s="1052">
        <f t="shared" si="233"/>
        <v>0</v>
      </c>
      <c r="H273" s="1052">
        <f t="shared" si="233"/>
        <v>0</v>
      </c>
      <c r="I273" s="1052">
        <f t="shared" si="233"/>
        <v>0</v>
      </c>
      <c r="J273" s="1052">
        <f t="shared" si="233"/>
        <v>0</v>
      </c>
      <c r="K273" s="1051">
        <f t="shared" si="233"/>
        <v>0</v>
      </c>
      <c r="L273" s="1052">
        <f t="shared" si="233"/>
        <v>0</v>
      </c>
      <c r="M273" s="1052">
        <f t="shared" si="233"/>
        <v>0</v>
      </c>
      <c r="N273" s="1052">
        <f t="shared" si="233"/>
        <v>0</v>
      </c>
      <c r="O273" s="1052">
        <f t="shared" si="233"/>
        <v>0</v>
      </c>
      <c r="P273" s="1051">
        <f t="shared" si="233"/>
        <v>0</v>
      </c>
      <c r="Q273" s="1052">
        <f t="shared" si="233"/>
        <v>0</v>
      </c>
      <c r="R273" s="1052">
        <f t="shared" si="233"/>
        <v>0</v>
      </c>
      <c r="S273" s="1052">
        <f t="shared" si="233"/>
        <v>0</v>
      </c>
      <c r="T273" s="1052">
        <f t="shared" si="233"/>
        <v>0</v>
      </c>
      <c r="U273" s="1051">
        <f t="shared" si="233"/>
        <v>0</v>
      </c>
      <c r="V273" s="1052">
        <f t="shared" si="233"/>
        <v>0</v>
      </c>
      <c r="W273" s="1052">
        <f t="shared" si="233"/>
        <v>0</v>
      </c>
      <c r="X273" s="1052">
        <f t="shared" si="233"/>
        <v>0</v>
      </c>
      <c r="Y273" s="1052">
        <f t="shared" si="233"/>
        <v>0</v>
      </c>
      <c r="Z273" s="1051">
        <f t="shared" si="233"/>
        <v>0</v>
      </c>
      <c r="AA273" s="1052">
        <f t="shared" si="233"/>
        <v>0</v>
      </c>
      <c r="AB273" s="1052">
        <f t="shared" si="233"/>
        <v>0</v>
      </c>
      <c r="AC273" s="1052">
        <f t="shared" si="233"/>
        <v>0</v>
      </c>
      <c r="AD273" s="1052">
        <f t="shared" si="233"/>
        <v>0</v>
      </c>
      <c r="AE273" s="1051">
        <f t="shared" si="233"/>
        <v>0</v>
      </c>
      <c r="AF273" s="1052">
        <f t="shared" si="233"/>
        <v>0</v>
      </c>
      <c r="AG273" s="1052">
        <f t="shared" si="233"/>
        <v>103.434</v>
      </c>
      <c r="AH273" s="1052">
        <f t="shared" si="233"/>
        <v>26.184000000000001</v>
      </c>
      <c r="AI273" s="1052">
        <f t="shared" si="233"/>
        <v>5.6150000000000091</v>
      </c>
      <c r="AJ273" s="1051">
        <f t="shared" si="233"/>
        <v>135.233</v>
      </c>
      <c r="AK273" s="1052">
        <f t="shared" si="233"/>
        <v>43.470999999999997</v>
      </c>
      <c r="AL273" s="1052">
        <f t="shared" si="233"/>
        <v>117.345</v>
      </c>
      <c r="AM273" s="1052">
        <f t="shared" si="233"/>
        <v>0</v>
      </c>
      <c r="AN273" s="1052">
        <f t="shared" si="233"/>
        <v>-11.816000000000003</v>
      </c>
      <c r="AO273" s="1051">
        <f t="shared" si="233"/>
        <v>149</v>
      </c>
      <c r="AP273" s="1052">
        <f t="shared" si="233"/>
        <v>0</v>
      </c>
      <c r="AQ273" s="1052">
        <f t="shared" si="233"/>
        <v>0</v>
      </c>
      <c r="AR273" s="1052">
        <f t="shared" si="233"/>
        <v>0</v>
      </c>
      <c r="AS273" s="1052">
        <f t="shared" si="233"/>
        <v>0</v>
      </c>
      <c r="AT273" s="1051">
        <f t="shared" si="233"/>
        <v>0</v>
      </c>
      <c r="AU273" s="1052">
        <f t="shared" si="233"/>
        <v>-101</v>
      </c>
      <c r="AV273" s="1052">
        <f t="shared" si="233"/>
        <v>23</v>
      </c>
      <c r="AW273" s="1053">
        <f t="shared" si="233"/>
        <v>51</v>
      </c>
      <c r="AX273" s="1054">
        <v>0</v>
      </c>
      <c r="AY273" s="1055">
        <f>SUM(AU273,AV273,AW273,AX273)</f>
        <v>-27</v>
      </c>
      <c r="AZ273" s="1054">
        <v>0</v>
      </c>
      <c r="BA273" s="1054">
        <v>0</v>
      </c>
      <c r="BB273" s="1054">
        <v>0</v>
      </c>
      <c r="BC273" s="1054">
        <v>0</v>
      </c>
      <c r="BD273" s="1055">
        <f>SUM(AZ273,BA273,BB273,BC273)</f>
        <v>0</v>
      </c>
      <c r="BE273" s="1056">
        <v>0</v>
      </c>
      <c r="BF273" s="1056">
        <v>0</v>
      </c>
      <c r="BG273" s="1056">
        <v>0</v>
      </c>
      <c r="BH273" s="1038"/>
    </row>
    <row r="274" spans="1:60" s="596" customFormat="1" x14ac:dyDescent="0.25">
      <c r="A274" s="528" t="s">
        <v>764</v>
      </c>
      <c r="B274" s="636"/>
      <c r="C274" s="45">
        <f t="shared" ref="C274:AW274" si="234">C257-C263-C268-C273</f>
        <v>-51.897000000000006</v>
      </c>
      <c r="D274" s="45">
        <f t="shared" si="234"/>
        <v>-146.83799999999999</v>
      </c>
      <c r="E274" s="45">
        <f t="shared" si="234"/>
        <v>-251.48799999999997</v>
      </c>
      <c r="F274" s="45">
        <f t="shared" si="234"/>
        <v>-394.28300000000002</v>
      </c>
      <c r="G274" s="44">
        <f t="shared" si="234"/>
        <v>-5.5839999999999534</v>
      </c>
      <c r="H274" s="44">
        <f t="shared" si="234"/>
        <v>-11.791999999999994</v>
      </c>
      <c r="I274" s="44">
        <f t="shared" si="234"/>
        <v>-30.554000000000002</v>
      </c>
      <c r="J274" s="44">
        <f t="shared" si="234"/>
        <v>-13.352999999999966</v>
      </c>
      <c r="K274" s="45">
        <f t="shared" si="234"/>
        <v>-61.282999999999845</v>
      </c>
      <c r="L274" s="44">
        <f t="shared" si="234"/>
        <v>-43.967000000000013</v>
      </c>
      <c r="M274" s="44">
        <f t="shared" si="234"/>
        <v>-28.753000000000114</v>
      </c>
      <c r="N274" s="44">
        <f t="shared" si="234"/>
        <v>-39.128999999999991</v>
      </c>
      <c r="O274" s="44">
        <f t="shared" si="234"/>
        <v>-74.838000000000108</v>
      </c>
      <c r="P274" s="45">
        <f t="shared" si="234"/>
        <v>-186.68899999999968</v>
      </c>
      <c r="Q274" s="44">
        <f t="shared" si="234"/>
        <v>-102.44599999999991</v>
      </c>
      <c r="R274" s="44">
        <f t="shared" si="234"/>
        <v>-170.18799999999999</v>
      </c>
      <c r="S274" s="44">
        <f t="shared" si="234"/>
        <v>-183.66200000000001</v>
      </c>
      <c r="T274" s="44">
        <f t="shared" si="234"/>
        <v>-260.33299999999991</v>
      </c>
      <c r="U274" s="45">
        <f t="shared" si="234"/>
        <v>-716.62899999999979</v>
      </c>
      <c r="V274" s="44">
        <f t="shared" si="234"/>
        <v>-248.22400000000002</v>
      </c>
      <c r="W274" s="44">
        <f t="shared" si="234"/>
        <v>-238.03999999999991</v>
      </c>
      <c r="X274" s="44">
        <f t="shared" si="234"/>
        <v>85.621999999999701</v>
      </c>
      <c r="Y274" s="44">
        <f t="shared" si="234"/>
        <v>-266.69800000000021</v>
      </c>
      <c r="Z274" s="45">
        <f t="shared" si="234"/>
        <v>-667.34000000000049</v>
      </c>
      <c r="AA274" s="44">
        <f t="shared" si="234"/>
        <v>-257.54899999999992</v>
      </c>
      <c r="AB274" s="44">
        <f t="shared" si="234"/>
        <v>-240.91600000000017</v>
      </c>
      <c r="AC274" s="44">
        <f t="shared" si="234"/>
        <v>-535.47999999999979</v>
      </c>
      <c r="AD274" s="44">
        <f t="shared" si="234"/>
        <v>-598.14100000000076</v>
      </c>
      <c r="AE274" s="45">
        <f t="shared" si="234"/>
        <v>-1632.0859999999991</v>
      </c>
      <c r="AF274" s="44">
        <f t="shared" si="234"/>
        <v>-596.97400000000016</v>
      </c>
      <c r="AG274" s="44">
        <f t="shared" si="234"/>
        <v>-621.39200000000108</v>
      </c>
      <c r="AH274" s="44">
        <f t="shared" si="234"/>
        <v>416.75699999999995</v>
      </c>
      <c r="AI274" s="44">
        <f t="shared" si="234"/>
        <v>413.53600000000051</v>
      </c>
      <c r="AJ274" s="45">
        <f t="shared" si="234"/>
        <v>-388.07299999999924</v>
      </c>
      <c r="AK274" s="44">
        <f t="shared" si="234"/>
        <v>-521.83100000000002</v>
      </c>
      <c r="AL274" s="44">
        <f t="shared" si="234"/>
        <v>-167.45800000000062</v>
      </c>
      <c r="AM274" s="44">
        <f t="shared" si="234"/>
        <v>261</v>
      </c>
      <c r="AN274" s="44">
        <f t="shared" si="234"/>
        <v>359.28899999999942</v>
      </c>
      <c r="AO274" s="45">
        <f t="shared" si="234"/>
        <v>-69</v>
      </c>
      <c r="AP274" s="44">
        <f t="shared" si="234"/>
        <v>283</v>
      </c>
      <c r="AQ274" s="44">
        <f t="shared" si="234"/>
        <v>327</v>
      </c>
      <c r="AR274" s="44">
        <f t="shared" si="234"/>
        <v>809</v>
      </c>
      <c r="AS274" s="44">
        <f t="shared" si="234"/>
        <v>575</v>
      </c>
      <c r="AT274" s="45">
        <f t="shared" si="234"/>
        <v>1994</v>
      </c>
      <c r="AU274" s="44">
        <f t="shared" si="234"/>
        <v>594</v>
      </c>
      <c r="AV274" s="44">
        <f t="shared" si="234"/>
        <v>1312</v>
      </c>
      <c r="AW274" s="729">
        <f t="shared" si="234"/>
        <v>2004</v>
      </c>
      <c r="AX274" s="44">
        <f>AX257-AX263-AX268-AX273</f>
        <v>2314.2571351610486</v>
      </c>
      <c r="AY274" s="45">
        <f>SUM(AU274,AV274,AW274,AX274)</f>
        <v>6224.2571351610486</v>
      </c>
      <c r="AZ274" s="44">
        <f t="shared" ref="AZ274:BC274" si="235">AZ257-AZ263-AZ268-AZ273</f>
        <v>3160.2765559195923</v>
      </c>
      <c r="BA274" s="44">
        <f t="shared" si="235"/>
        <v>3617.7280743631654</v>
      </c>
      <c r="BB274" s="44">
        <f t="shared" si="235"/>
        <v>4747.8993092370511</v>
      </c>
      <c r="BC274" s="44">
        <f t="shared" si="235"/>
        <v>4647.4101953207473</v>
      </c>
      <c r="BD274" s="45">
        <f>SUM(AZ274,BA274,BB274,BC274)</f>
        <v>16173.314134840555</v>
      </c>
      <c r="BE274" s="45">
        <f t="shared" ref="BE274:BG274" si="236">BE257-BE263-BE268-BE273</f>
        <v>20118.947688603952</v>
      </c>
      <c r="BF274" s="45">
        <f t="shared" si="236"/>
        <v>24805.309969958224</v>
      </c>
      <c r="BG274" s="45">
        <f t="shared" si="236"/>
        <v>30394.006130766484</v>
      </c>
      <c r="BH274" s="595"/>
    </row>
    <row r="275" spans="1:60" s="936" customFormat="1" x14ac:dyDescent="0.25">
      <c r="A275" s="931" t="s">
        <v>765</v>
      </c>
      <c r="B275" s="932"/>
      <c r="C275" s="191"/>
      <c r="D275" s="191">
        <f>D274/C274-1</f>
        <v>1.8294121047459386</v>
      </c>
      <c r="E275" s="191">
        <f>E274/D274-1</f>
        <v>0.71269017556763226</v>
      </c>
      <c r="F275" s="191">
        <f>F274/E274-1</f>
        <v>0.56780045171141391</v>
      </c>
      <c r="G275" s="1004"/>
      <c r="H275" s="1004"/>
      <c r="I275" s="1004"/>
      <c r="J275" s="1004"/>
      <c r="K275" s="191">
        <f t="shared" ref="K275:BD275" si="237">K274/F274-1</f>
        <v>-0.84457103146724599</v>
      </c>
      <c r="L275" s="1004">
        <f t="shared" si="237"/>
        <v>6.8737464183381771</v>
      </c>
      <c r="M275" s="1004">
        <f t="shared" si="237"/>
        <v>1.4383480325644613</v>
      </c>
      <c r="N275" s="1004">
        <f t="shared" si="237"/>
        <v>0.28065065130588418</v>
      </c>
      <c r="O275" s="1004">
        <f t="shared" si="237"/>
        <v>4.6045832397214328</v>
      </c>
      <c r="P275" s="191">
        <f t="shared" si="237"/>
        <v>2.0463423787999959</v>
      </c>
      <c r="Q275" s="1004">
        <f t="shared" si="237"/>
        <v>1.3300657311165165</v>
      </c>
      <c r="R275" s="1004">
        <f t="shared" si="237"/>
        <v>4.9189649775675344</v>
      </c>
      <c r="S275" s="1004">
        <f t="shared" si="237"/>
        <v>3.6937565488512369</v>
      </c>
      <c r="T275" s="1004">
        <f t="shared" si="237"/>
        <v>2.4786204869184041</v>
      </c>
      <c r="U275" s="191">
        <f t="shared" si="237"/>
        <v>2.8386246645490685</v>
      </c>
      <c r="V275" s="1004">
        <f t="shared" si="237"/>
        <v>1.4229740546239018</v>
      </c>
      <c r="W275" s="1004">
        <f t="shared" si="237"/>
        <v>0.39868850917808496</v>
      </c>
      <c r="X275" s="1004">
        <f t="shared" si="237"/>
        <v>-1.4661933334059287</v>
      </c>
      <c r="Y275" s="1004">
        <f t="shared" si="237"/>
        <v>2.4449455120942432E-2</v>
      </c>
      <c r="Z275" s="191">
        <f t="shared" si="237"/>
        <v>-6.8778963731581211E-2</v>
      </c>
      <c r="AA275" s="1004">
        <f t="shared" si="237"/>
        <v>3.7566875080571993E-2</v>
      </c>
      <c r="AB275" s="1004">
        <f t="shared" si="237"/>
        <v>1.2082003024702859E-2</v>
      </c>
      <c r="AC275" s="1004">
        <f t="shared" si="237"/>
        <v>-7.2540001401509153</v>
      </c>
      <c r="AD275" s="1004">
        <f t="shared" si="237"/>
        <v>1.2427652250860537</v>
      </c>
      <c r="AE275" s="191">
        <f t="shared" si="237"/>
        <v>1.4456588845266252</v>
      </c>
      <c r="AF275" s="1004">
        <f t="shared" si="237"/>
        <v>1.3179045540848553</v>
      </c>
      <c r="AG275" s="1004">
        <f t="shared" si="237"/>
        <v>1.5792890468046981</v>
      </c>
      <c r="AH275" s="1004">
        <f t="shared" si="237"/>
        <v>-1.7782867707477406</v>
      </c>
      <c r="AI275" s="1004">
        <f t="shared" si="237"/>
        <v>-1.6913687575337586</v>
      </c>
      <c r="AJ275" s="191">
        <f t="shared" si="237"/>
        <v>-0.76222270149979876</v>
      </c>
      <c r="AK275" s="1004">
        <f t="shared" si="237"/>
        <v>-0.12587315360467977</v>
      </c>
      <c r="AL275" s="1004">
        <f t="shared" si="237"/>
        <v>-0.73051149676854488</v>
      </c>
      <c r="AM275" s="1004">
        <f t="shared" si="237"/>
        <v>-0.37373577408417846</v>
      </c>
      <c r="AN275" s="1004">
        <f t="shared" si="237"/>
        <v>-0.13117842219299169</v>
      </c>
      <c r="AO275" s="191">
        <f t="shared" si="237"/>
        <v>-0.82219840081634088</v>
      </c>
      <c r="AP275" s="1004">
        <f t="shared" si="237"/>
        <v>-1.5423211729467969</v>
      </c>
      <c r="AQ275" s="1004">
        <f t="shared" si="237"/>
        <v>-2.9527284453415112</v>
      </c>
      <c r="AR275" s="1004">
        <f t="shared" si="237"/>
        <v>2.0996168582375478</v>
      </c>
      <c r="AS275" s="1004">
        <f t="shared" si="237"/>
        <v>0.6003829786049697</v>
      </c>
      <c r="AT275" s="191">
        <f t="shared" si="237"/>
        <v>-29.89855072463768</v>
      </c>
      <c r="AU275" s="1004">
        <f t="shared" si="237"/>
        <v>1.0989399293286217</v>
      </c>
      <c r="AV275" s="1004">
        <f t="shared" si="237"/>
        <v>3.0122324159021403</v>
      </c>
      <c r="AW275" s="820">
        <f t="shared" si="237"/>
        <v>1.4771322620519158</v>
      </c>
      <c r="AX275" s="934">
        <f t="shared" si="237"/>
        <v>3.0247950176713889</v>
      </c>
      <c r="AY275" s="933">
        <f t="shared" si="237"/>
        <v>2.1214930467206865</v>
      </c>
      <c r="AZ275" s="934">
        <f t="shared" si="237"/>
        <v>4.3203309022215359</v>
      </c>
      <c r="BA275" s="934">
        <f t="shared" si="237"/>
        <v>1.7574146908255832</v>
      </c>
      <c r="BB275" s="934">
        <f t="shared" si="237"/>
        <v>1.3692112321542171</v>
      </c>
      <c r="BC275" s="934">
        <f t="shared" si="237"/>
        <v>1.0081650066933183</v>
      </c>
      <c r="BD275" s="933">
        <f t="shared" si="237"/>
        <v>1.5984328384309401</v>
      </c>
      <c r="BE275" s="933">
        <f>BE274/BD274-1</f>
        <v>0.24395949530614214</v>
      </c>
      <c r="BF275" s="933">
        <f>BF274/BE274-1</f>
        <v>0.23293277331839701</v>
      </c>
      <c r="BG275" s="933">
        <f>BG274/BF274-1</f>
        <v>0.22530241176493027</v>
      </c>
      <c r="BH275" s="935"/>
    </row>
    <row r="276" spans="1:60" s="942" customFormat="1" x14ac:dyDescent="0.25">
      <c r="A276" s="937" t="s">
        <v>744</v>
      </c>
      <c r="B276" s="938"/>
      <c r="C276" s="100">
        <f t="shared" ref="C276:AH276" si="238">C274/C255</f>
        <v>-0.46360201173811677</v>
      </c>
      <c r="D276" s="100">
        <f t="shared" si="238"/>
        <v>-1.2577777016377716</v>
      </c>
      <c r="E276" s="100">
        <f t="shared" si="238"/>
        <v>-1.2313236258947717</v>
      </c>
      <c r="F276" s="100">
        <f t="shared" si="238"/>
        <v>-0.95408899084344811</v>
      </c>
      <c r="G276" s="1005">
        <f t="shared" si="238"/>
        <v>-9.9396217817269619E-3</v>
      </c>
      <c r="H276" s="1005">
        <f t="shared" si="238"/>
        <v>-2.9106059895492645E-2</v>
      </c>
      <c r="I276" s="1005">
        <f t="shared" si="238"/>
        <v>-7.0834086788796005E-2</v>
      </c>
      <c r="J276" s="1005">
        <f t="shared" si="238"/>
        <v>-2.1704466214469913E-2</v>
      </c>
      <c r="K276" s="100">
        <f t="shared" si="238"/>
        <v>-3.0436117081931051E-2</v>
      </c>
      <c r="L276" s="1005">
        <f t="shared" si="238"/>
        <v>-7.0852577263102276E-2</v>
      </c>
      <c r="M276" s="1005">
        <f t="shared" si="238"/>
        <v>-3.7373155745961999E-2</v>
      </c>
      <c r="N276" s="1005">
        <f t="shared" si="238"/>
        <v>-4.5936623918178349E-2</v>
      </c>
      <c r="O276" s="1005">
        <f t="shared" si="238"/>
        <v>-7.8228337937890344E-2</v>
      </c>
      <c r="P276" s="100">
        <f t="shared" si="238"/>
        <v>-5.8370300241749093E-2</v>
      </c>
      <c r="Q276" s="1005">
        <f t="shared" si="238"/>
        <v>-0.10899902115163627</v>
      </c>
      <c r="R276" s="1005">
        <f t="shared" si="238"/>
        <v>-0.17821180846429646</v>
      </c>
      <c r="S276" s="1005">
        <f t="shared" si="238"/>
        <v>-0.19605482130981472</v>
      </c>
      <c r="T276" s="1005">
        <f t="shared" si="238"/>
        <v>-0.21437523674632314</v>
      </c>
      <c r="U276" s="100">
        <f t="shared" si="238"/>
        <v>-0.17711927138364192</v>
      </c>
      <c r="V276" s="1005">
        <f t="shared" si="238"/>
        <v>-0.21640245220775417</v>
      </c>
      <c r="W276" s="1005">
        <f t="shared" si="238"/>
        <v>-0.18743056195310764</v>
      </c>
      <c r="X276" s="1005">
        <f t="shared" si="238"/>
        <v>3.7252288077631798E-2</v>
      </c>
      <c r="Y276" s="1005">
        <f t="shared" si="238"/>
        <v>-0.11673570042602076</v>
      </c>
      <c r="Z276" s="100">
        <f t="shared" si="238"/>
        <v>-9.5332488015940339E-2</v>
      </c>
      <c r="AA276" s="1005">
        <f t="shared" si="238"/>
        <v>-9.5520478290378907E-2</v>
      </c>
      <c r="AB276" s="1005">
        <f t="shared" si="238"/>
        <v>-8.6363533708040452E-2</v>
      </c>
      <c r="AC276" s="1005">
        <f t="shared" si="238"/>
        <v>-0.1794098184894502</v>
      </c>
      <c r="AD276" s="1005">
        <f t="shared" si="238"/>
        <v>-0.18190258706077334</v>
      </c>
      <c r="AE276" s="100">
        <f t="shared" si="238"/>
        <v>-0.13879756446921948</v>
      </c>
      <c r="AF276" s="1005">
        <f t="shared" si="238"/>
        <v>-0.17512983494540968</v>
      </c>
      <c r="AG276" s="1005">
        <f t="shared" si="238"/>
        <v>-0.15526140295250354</v>
      </c>
      <c r="AH276" s="1005">
        <f t="shared" si="238"/>
        <v>6.1068549045903274E-2</v>
      </c>
      <c r="AI276" s="1005">
        <f t="shared" ref="AI276:BG276" si="239">AI274/AI255</f>
        <v>5.7229901494255504E-2</v>
      </c>
      <c r="AJ276" s="100">
        <f t="shared" si="239"/>
        <v>-1.8082482358451477E-2</v>
      </c>
      <c r="AK276" s="1005">
        <f t="shared" si="239"/>
        <v>-0.11490369625301446</v>
      </c>
      <c r="AL276" s="1005">
        <f t="shared" si="239"/>
        <v>-2.6372684212548899E-2</v>
      </c>
      <c r="AM276" s="1005">
        <f t="shared" si="239"/>
        <v>4.1408852927177532E-2</v>
      </c>
      <c r="AN276" s="1005">
        <f t="shared" si="239"/>
        <v>4.8658696129124795E-2</v>
      </c>
      <c r="AO276" s="100">
        <f t="shared" si="239"/>
        <v>-2.8073887216209618E-3</v>
      </c>
      <c r="AP276" s="1005">
        <f t="shared" si="239"/>
        <v>4.7284878863826235E-2</v>
      </c>
      <c r="AQ276" s="1005">
        <f t="shared" si="239"/>
        <v>5.4174950298210733E-2</v>
      </c>
      <c r="AR276" s="1005">
        <f t="shared" si="239"/>
        <v>9.2235776992361185E-2</v>
      </c>
      <c r="AS276" s="1005">
        <f t="shared" si="239"/>
        <v>5.3518242740134031E-2</v>
      </c>
      <c r="AT276" s="100">
        <f t="shared" si="239"/>
        <v>6.3229325215626589E-2</v>
      </c>
      <c r="AU276" s="1005">
        <f t="shared" si="239"/>
        <v>5.7175859081721049E-2</v>
      </c>
      <c r="AV276" s="1005">
        <f t="shared" si="239"/>
        <v>0.10971734403746446</v>
      </c>
      <c r="AW276" s="727">
        <f t="shared" si="239"/>
        <v>0.14567129461365122</v>
      </c>
      <c r="AX276" s="940">
        <f t="shared" si="239"/>
        <v>0.13694598281136738</v>
      </c>
      <c r="AY276" s="939">
        <f t="shared" si="239"/>
        <v>0.1174320539769889</v>
      </c>
      <c r="AZ276" s="940">
        <f t="shared" si="239"/>
        <v>0.14765015903998505</v>
      </c>
      <c r="BA276" s="940">
        <f t="shared" si="239"/>
        <v>0.14341434490142921</v>
      </c>
      <c r="BB276" s="940">
        <f t="shared" si="239"/>
        <v>0.15726271166685252</v>
      </c>
      <c r="BC276" s="940">
        <f t="shared" si="239"/>
        <v>0.1362905531437304</v>
      </c>
      <c r="BD276" s="939">
        <f t="shared" si="239"/>
        <v>0.14581104069438069</v>
      </c>
      <c r="BE276" s="939">
        <f t="shared" si="239"/>
        <v>0.14711754468508215</v>
      </c>
      <c r="BF276" s="939">
        <f t="shared" si="239"/>
        <v>0.14802084442195304</v>
      </c>
      <c r="BG276" s="939">
        <f t="shared" si="239"/>
        <v>0.14793042904765397</v>
      </c>
      <c r="BH276" s="941"/>
    </row>
    <row r="277" spans="1:60" s="944" customFormat="1" x14ac:dyDescent="0.25">
      <c r="A277" s="943" t="s">
        <v>766</v>
      </c>
      <c r="B277" s="919"/>
      <c r="C277" s="440"/>
      <c r="D277" s="440">
        <f>(D276-C276)*10000</f>
        <v>-7941.7568989965484</v>
      </c>
      <c r="E277" s="440">
        <f>(E276-D276)*10000</f>
        <v>264.54075742999851</v>
      </c>
      <c r="F277" s="440">
        <f>(F276-E276)*10000</f>
        <v>2772.3463505132363</v>
      </c>
      <c r="G277" s="439"/>
      <c r="H277" s="439"/>
      <c r="I277" s="439"/>
      <c r="J277" s="439"/>
      <c r="K277" s="440">
        <f t="shared" ref="K277:BD277" si="240">(K276-F276)*10000</f>
        <v>9236.52873761517</v>
      </c>
      <c r="L277" s="439">
        <f t="shared" si="240"/>
        <v>-609.12955481375309</v>
      </c>
      <c r="M277" s="439">
        <f t="shared" si="240"/>
        <v>-82.67095850469353</v>
      </c>
      <c r="N277" s="439">
        <f t="shared" si="240"/>
        <v>248.97462870617656</v>
      </c>
      <c r="O277" s="439">
        <f t="shared" si="240"/>
        <v>-565.23871723420427</v>
      </c>
      <c r="P277" s="440">
        <f t="shared" si="240"/>
        <v>-279.34183159818042</v>
      </c>
      <c r="Q277" s="439">
        <f t="shared" si="240"/>
        <v>-381.46443888533997</v>
      </c>
      <c r="R277" s="439">
        <f t="shared" si="240"/>
        <v>-1408.3865271833445</v>
      </c>
      <c r="S277" s="439">
        <f t="shared" si="240"/>
        <v>-1501.1819739163636</v>
      </c>
      <c r="T277" s="439">
        <f t="shared" si="240"/>
        <v>-1361.4689880843277</v>
      </c>
      <c r="U277" s="440">
        <f t="shared" si="240"/>
        <v>-1187.4897114189282</v>
      </c>
      <c r="V277" s="439">
        <f t="shared" si="240"/>
        <v>-1074.0343105611789</v>
      </c>
      <c r="W277" s="439">
        <f t="shared" si="240"/>
        <v>-92.187534888111827</v>
      </c>
      <c r="X277" s="439">
        <f t="shared" si="240"/>
        <v>2333.0710938744655</v>
      </c>
      <c r="Y277" s="439">
        <f t="shared" si="240"/>
        <v>976.39536320302386</v>
      </c>
      <c r="Z277" s="440">
        <f t="shared" si="240"/>
        <v>817.86783367701582</v>
      </c>
      <c r="AA277" s="439">
        <f t="shared" si="240"/>
        <v>1208.8197391737526</v>
      </c>
      <c r="AB277" s="439">
        <f t="shared" si="240"/>
        <v>1010.6702824506719</v>
      </c>
      <c r="AC277" s="439">
        <f t="shared" si="240"/>
        <v>-2166.6210656708199</v>
      </c>
      <c r="AD277" s="439">
        <f t="shared" si="240"/>
        <v>-651.66886634752575</v>
      </c>
      <c r="AE277" s="440">
        <f t="shared" si="240"/>
        <v>-434.65076453279141</v>
      </c>
      <c r="AF277" s="439">
        <f t="shared" si="240"/>
        <v>-796.09356655030774</v>
      </c>
      <c r="AG277" s="439">
        <f t="shared" si="240"/>
        <v>-688.97869244463084</v>
      </c>
      <c r="AH277" s="439">
        <f t="shared" si="240"/>
        <v>2404.7836753535348</v>
      </c>
      <c r="AI277" s="439">
        <f t="shared" si="240"/>
        <v>2391.3248855502884</v>
      </c>
      <c r="AJ277" s="440">
        <f t="shared" si="240"/>
        <v>1207.15082110768</v>
      </c>
      <c r="AK277" s="439">
        <f t="shared" si="240"/>
        <v>602.26138692395227</v>
      </c>
      <c r="AL277" s="439">
        <f t="shared" si="240"/>
        <v>1288.8871873995463</v>
      </c>
      <c r="AM277" s="439">
        <f t="shared" si="240"/>
        <v>-196.59696118725742</v>
      </c>
      <c r="AN277" s="439">
        <f t="shared" si="240"/>
        <v>-85.712053651307087</v>
      </c>
      <c r="AO277" s="440">
        <f t="shared" si="240"/>
        <v>152.75093636830516</v>
      </c>
      <c r="AP277" s="439">
        <f t="shared" si="240"/>
        <v>1621.8857511684071</v>
      </c>
      <c r="AQ277" s="439">
        <f t="shared" si="240"/>
        <v>805.47634510759633</v>
      </c>
      <c r="AR277" s="439">
        <f t="shared" si="240"/>
        <v>508.26924065183653</v>
      </c>
      <c r="AS277" s="439">
        <f t="shared" si="240"/>
        <v>48.595466110092353</v>
      </c>
      <c r="AT277" s="440">
        <f t="shared" si="240"/>
        <v>660.36713937247555</v>
      </c>
      <c r="AU277" s="439">
        <f t="shared" si="240"/>
        <v>98.909802178948141</v>
      </c>
      <c r="AV277" s="439">
        <f t="shared" si="240"/>
        <v>555.42393739253725</v>
      </c>
      <c r="AW277" s="726">
        <f t="shared" si="240"/>
        <v>534.35517621290035</v>
      </c>
      <c r="AX277" s="920">
        <f t="shared" si="240"/>
        <v>834.27740071233347</v>
      </c>
      <c r="AY277" s="591">
        <f t="shared" si="240"/>
        <v>542.02728761362312</v>
      </c>
      <c r="AZ277" s="920">
        <f t="shared" si="240"/>
        <v>904.7429995826401</v>
      </c>
      <c r="BA277" s="920">
        <f t="shared" si="240"/>
        <v>336.97000863964752</v>
      </c>
      <c r="BB277" s="920">
        <f t="shared" si="240"/>
        <v>115.91417053201297</v>
      </c>
      <c r="BC277" s="920">
        <f t="shared" si="240"/>
        <v>-6.554296676369864</v>
      </c>
      <c r="BD277" s="591">
        <f t="shared" si="240"/>
        <v>283.78986717391791</v>
      </c>
      <c r="BE277" s="591">
        <f>(BE276-BD276)*10000</f>
        <v>13.065039907014519</v>
      </c>
      <c r="BF277" s="591">
        <f>(BF276-BE276)*10000</f>
        <v>9.0329973687089389</v>
      </c>
      <c r="BG277" s="591">
        <f>(BG276-BF276)*10000</f>
        <v>-0.90415374299074314</v>
      </c>
      <c r="BH277" s="592"/>
    </row>
    <row r="278" spans="1:60" s="926" customFormat="1" ht="7.5" customHeight="1" x14ac:dyDescent="0.25">
      <c r="A278" s="921"/>
      <c r="B278" s="922"/>
      <c r="C278" s="252"/>
      <c r="D278" s="252"/>
      <c r="E278" s="252"/>
      <c r="F278" s="252"/>
      <c r="G278" s="370"/>
      <c r="H278" s="370"/>
      <c r="I278" s="370"/>
      <c r="J278" s="370"/>
      <c r="K278" s="252"/>
      <c r="L278" s="370"/>
      <c r="M278" s="370"/>
      <c r="N278" s="370"/>
      <c r="O278" s="370"/>
      <c r="P278" s="252"/>
      <c r="Q278" s="370"/>
      <c r="R278" s="370"/>
      <c r="S278" s="370"/>
      <c r="T278" s="370"/>
      <c r="U278" s="252"/>
      <c r="V278" s="370"/>
      <c r="W278" s="370"/>
      <c r="X278" s="370"/>
      <c r="Y278" s="370"/>
      <c r="Z278" s="252"/>
      <c r="AA278" s="370"/>
      <c r="AB278" s="370"/>
      <c r="AC278" s="370"/>
      <c r="AD278" s="370"/>
      <c r="AE278" s="252"/>
      <c r="AF278" s="370"/>
      <c r="AG278" s="370"/>
      <c r="AH278" s="370"/>
      <c r="AI278" s="370"/>
      <c r="AJ278" s="252"/>
      <c r="AK278" s="370"/>
      <c r="AL278" s="370"/>
      <c r="AM278" s="370"/>
      <c r="AN278" s="370"/>
      <c r="AO278" s="252"/>
      <c r="AP278" s="370"/>
      <c r="AQ278" s="370"/>
      <c r="AR278" s="370"/>
      <c r="AS278" s="370"/>
      <c r="AT278" s="252"/>
      <c r="AU278" s="370"/>
      <c r="AV278" s="370"/>
      <c r="AW278" s="728"/>
      <c r="AX278" s="924"/>
      <c r="AY278" s="923"/>
      <c r="AZ278" s="924"/>
      <c r="BA278" s="924"/>
      <c r="BB278" s="924"/>
      <c r="BC278" s="924"/>
      <c r="BD278" s="923"/>
      <c r="BE278" s="923"/>
      <c r="BF278" s="923"/>
      <c r="BG278" s="923"/>
      <c r="BH278" s="925"/>
    </row>
    <row r="279" spans="1:60" s="596" customFormat="1" x14ac:dyDescent="0.25">
      <c r="A279" s="927" t="s">
        <v>767</v>
      </c>
      <c r="B279" s="928"/>
      <c r="C279" s="438">
        <f t="shared" ref="C279:AW279" si="241">C391</f>
        <v>-51.897000000000006</v>
      </c>
      <c r="D279" s="438">
        <f t="shared" si="241"/>
        <v>-146.83799999999999</v>
      </c>
      <c r="E279" s="438">
        <f t="shared" si="241"/>
        <v>-251.48799999999994</v>
      </c>
      <c r="F279" s="438">
        <f t="shared" si="241"/>
        <v>-394.28300000000002</v>
      </c>
      <c r="G279" s="437">
        <f t="shared" si="241"/>
        <v>-5.5839999999999463</v>
      </c>
      <c r="H279" s="437">
        <f t="shared" si="241"/>
        <v>-11.792000000000002</v>
      </c>
      <c r="I279" s="437">
        <f t="shared" si="241"/>
        <v>-30.554000000000002</v>
      </c>
      <c r="J279" s="437">
        <f t="shared" si="241"/>
        <v>-13.352999999999952</v>
      </c>
      <c r="K279" s="438">
        <f t="shared" si="241"/>
        <v>-61.282999999999902</v>
      </c>
      <c r="L279" s="437">
        <f t="shared" si="241"/>
        <v>-43.967000000000013</v>
      </c>
      <c r="M279" s="437">
        <f t="shared" si="241"/>
        <v>-28.7530000000001</v>
      </c>
      <c r="N279" s="437">
        <f t="shared" si="241"/>
        <v>-39.129000000000019</v>
      </c>
      <c r="O279" s="437">
        <f t="shared" si="241"/>
        <v>-74.838000000000079</v>
      </c>
      <c r="P279" s="438">
        <f t="shared" si="241"/>
        <v>-186.68899999999962</v>
      </c>
      <c r="Q279" s="437">
        <f t="shared" si="241"/>
        <v>-102.44599999999991</v>
      </c>
      <c r="R279" s="437">
        <f t="shared" si="241"/>
        <v>-170.18799999999999</v>
      </c>
      <c r="S279" s="437">
        <f t="shared" si="241"/>
        <v>-183.66200000000003</v>
      </c>
      <c r="T279" s="437">
        <f t="shared" si="241"/>
        <v>-260.33299999999991</v>
      </c>
      <c r="U279" s="438">
        <f t="shared" si="241"/>
        <v>-716.62899999999991</v>
      </c>
      <c r="V279" s="437">
        <f t="shared" si="241"/>
        <v>-248.22400000000005</v>
      </c>
      <c r="W279" s="437">
        <f t="shared" si="241"/>
        <v>-238.03999999999996</v>
      </c>
      <c r="X279" s="437">
        <f t="shared" si="241"/>
        <v>85.62199999999973</v>
      </c>
      <c r="Y279" s="437">
        <f t="shared" si="241"/>
        <v>-266.69800000000021</v>
      </c>
      <c r="Z279" s="438">
        <f t="shared" si="241"/>
        <v>-667.3400000000006</v>
      </c>
      <c r="AA279" s="437">
        <f t="shared" si="241"/>
        <v>-257.54899999999998</v>
      </c>
      <c r="AB279" s="437">
        <f t="shared" si="241"/>
        <v>-240.91600000000017</v>
      </c>
      <c r="AC279" s="437">
        <f t="shared" si="241"/>
        <v>-535.47999999999979</v>
      </c>
      <c r="AD279" s="437">
        <f t="shared" si="241"/>
        <v>-598.14100000000076</v>
      </c>
      <c r="AE279" s="438">
        <f t="shared" si="241"/>
        <v>-1632.0859999999993</v>
      </c>
      <c r="AF279" s="437">
        <f t="shared" si="241"/>
        <v>-596.97400000000016</v>
      </c>
      <c r="AG279" s="437">
        <f t="shared" si="241"/>
        <v>-621.39200000000096</v>
      </c>
      <c r="AH279" s="437">
        <f t="shared" si="241"/>
        <v>416.75700000000006</v>
      </c>
      <c r="AI279" s="437">
        <f t="shared" si="241"/>
        <v>413.53600000000051</v>
      </c>
      <c r="AJ279" s="438">
        <f t="shared" si="241"/>
        <v>-388.07299999999941</v>
      </c>
      <c r="AK279" s="437">
        <f t="shared" si="241"/>
        <v>-521.83100000000013</v>
      </c>
      <c r="AL279" s="437">
        <f t="shared" si="241"/>
        <v>-167.45800000000054</v>
      </c>
      <c r="AM279" s="437">
        <f t="shared" si="241"/>
        <v>261</v>
      </c>
      <c r="AN279" s="437">
        <f t="shared" si="241"/>
        <v>359.28899999999953</v>
      </c>
      <c r="AO279" s="438">
        <f t="shared" si="241"/>
        <v>-69</v>
      </c>
      <c r="AP279" s="437">
        <f t="shared" si="241"/>
        <v>283</v>
      </c>
      <c r="AQ279" s="437">
        <f t="shared" si="241"/>
        <v>327</v>
      </c>
      <c r="AR279" s="437">
        <f t="shared" si="241"/>
        <v>809</v>
      </c>
      <c r="AS279" s="437">
        <f t="shared" si="241"/>
        <v>575</v>
      </c>
      <c r="AT279" s="438">
        <f t="shared" si="241"/>
        <v>1994</v>
      </c>
      <c r="AU279" s="437">
        <f t="shared" si="241"/>
        <v>594</v>
      </c>
      <c r="AV279" s="437">
        <f t="shared" si="241"/>
        <v>1312</v>
      </c>
      <c r="AW279" s="725">
        <f t="shared" si="241"/>
        <v>2004</v>
      </c>
      <c r="AX279" s="930">
        <f>AX274</f>
        <v>2314.2571351610486</v>
      </c>
      <c r="AY279" s="929">
        <f>SUM(AU279,AV279,AW279,AX279)</f>
        <v>6224.2571351610486</v>
      </c>
      <c r="AZ279" s="930">
        <f>AZ274</f>
        <v>3160.2765559195923</v>
      </c>
      <c r="BA279" s="930">
        <f>BA274</f>
        <v>3617.7280743631654</v>
      </c>
      <c r="BB279" s="930">
        <f>BB274</f>
        <v>4747.8993092370511</v>
      </c>
      <c r="BC279" s="930">
        <f>BC274</f>
        <v>4647.4101953207473</v>
      </c>
      <c r="BD279" s="929">
        <f>SUM(AZ279,BA279,BB279,BC279)</f>
        <v>16173.314134840555</v>
      </c>
      <c r="BE279" s="929">
        <f>BE274</f>
        <v>20118.947688603952</v>
      </c>
      <c r="BF279" s="929">
        <f>BF274</f>
        <v>24805.309969958224</v>
      </c>
      <c r="BG279" s="929">
        <f>BG274</f>
        <v>30394.006130766484</v>
      </c>
      <c r="BH279" s="595"/>
    </row>
    <row r="280" spans="1:60" s="936" customFormat="1" x14ac:dyDescent="0.25">
      <c r="A280" s="994" t="s">
        <v>745</v>
      </c>
      <c r="B280" s="995"/>
      <c r="C280" s="544"/>
      <c r="D280" s="544"/>
      <c r="E280" s="544"/>
      <c r="F280" s="544"/>
      <c r="G280" s="545"/>
      <c r="H280" s="545"/>
      <c r="I280" s="545"/>
      <c r="J280" s="545"/>
      <c r="K280" s="544"/>
      <c r="L280" s="545"/>
      <c r="M280" s="545"/>
      <c r="N280" s="545"/>
      <c r="O280" s="545"/>
      <c r="P280" s="544"/>
      <c r="Q280" s="545"/>
      <c r="R280" s="545"/>
      <c r="S280" s="545"/>
      <c r="T280" s="545"/>
      <c r="U280" s="544"/>
      <c r="V280" s="545"/>
      <c r="W280" s="545"/>
      <c r="X280" s="545"/>
      <c r="Y280" s="545"/>
      <c r="Z280" s="544"/>
      <c r="AA280" s="545"/>
      <c r="AB280" s="545"/>
      <c r="AC280" s="545"/>
      <c r="AD280" s="545"/>
      <c r="AE280" s="544"/>
      <c r="AF280" s="545"/>
      <c r="AG280" s="545"/>
      <c r="AH280" s="545"/>
      <c r="AI280" s="545"/>
      <c r="AJ280" s="544"/>
      <c r="AK280" s="545"/>
      <c r="AL280" s="545"/>
      <c r="AM280" s="545"/>
      <c r="AN280" s="545"/>
      <c r="AO280" s="544"/>
      <c r="AP280" s="545"/>
      <c r="AQ280" s="545"/>
      <c r="AR280" s="545"/>
      <c r="AS280" s="545"/>
      <c r="AT280" s="544"/>
      <c r="AU280" s="545"/>
      <c r="AV280" s="545"/>
      <c r="AW280" s="962"/>
      <c r="AX280" s="996" t="str">
        <f t="shared" ref="AX280:BG280" ca="1" si="242">AX392</f>
        <v>N/A</v>
      </c>
      <c r="AY280" s="997" t="str">
        <f t="shared" ca="1" si="242"/>
        <v>N/A</v>
      </c>
      <c r="AZ280" s="996" t="str">
        <f t="shared" ca="1" si="242"/>
        <v>N/A</v>
      </c>
      <c r="BA280" s="996" t="str">
        <f t="shared" ca="1" si="242"/>
        <v>N/A</v>
      </c>
      <c r="BB280" s="996" t="str">
        <f t="shared" ca="1" si="242"/>
        <v>N/A</v>
      </c>
      <c r="BC280" s="996" t="str">
        <f t="shared" ca="1" si="242"/>
        <v>N/A</v>
      </c>
      <c r="BD280" s="997" t="str">
        <f t="shared" ca="1" si="242"/>
        <v>N/A</v>
      </c>
      <c r="BE280" s="997" t="str">
        <f t="shared" ca="1" si="242"/>
        <v>N/A</v>
      </c>
      <c r="BF280" s="997" t="str">
        <f t="shared" ca="1" si="242"/>
        <v>N/A</v>
      </c>
      <c r="BG280" s="997" t="str">
        <f t="shared" ca="1" si="242"/>
        <v>N/A</v>
      </c>
      <c r="BH280" s="935"/>
    </row>
    <row r="281" spans="1:60" s="936" customFormat="1" x14ac:dyDescent="0.25">
      <c r="A281" s="931" t="s">
        <v>768</v>
      </c>
      <c r="B281" s="932"/>
      <c r="C281" s="191"/>
      <c r="D281" s="191">
        <f>D279/C279-1</f>
        <v>1.8294121047459386</v>
      </c>
      <c r="E281" s="191">
        <f>E279/D279-1</f>
        <v>0.71269017556763203</v>
      </c>
      <c r="F281" s="191">
        <f>F279/E279-1</f>
        <v>0.56780045171141413</v>
      </c>
      <c r="G281" s="1004"/>
      <c r="H281" s="1004"/>
      <c r="I281" s="1004"/>
      <c r="J281" s="1004"/>
      <c r="K281" s="191">
        <f t="shared" ref="K281:BD281" si="243">K279/F279-1</f>
        <v>-0.84457103146724588</v>
      </c>
      <c r="L281" s="1004">
        <f t="shared" si="243"/>
        <v>6.8737464183381869</v>
      </c>
      <c r="M281" s="1004">
        <f t="shared" si="243"/>
        <v>1.4383480325644586</v>
      </c>
      <c r="N281" s="1004">
        <f t="shared" si="243"/>
        <v>0.28065065130588529</v>
      </c>
      <c r="O281" s="1004">
        <f t="shared" si="243"/>
        <v>4.6045832397214372</v>
      </c>
      <c r="P281" s="191">
        <f t="shared" si="243"/>
        <v>2.0463423787999924</v>
      </c>
      <c r="Q281" s="1004">
        <f t="shared" si="243"/>
        <v>1.3300657311165165</v>
      </c>
      <c r="R281" s="1004">
        <f t="shared" si="243"/>
        <v>4.918964977567537</v>
      </c>
      <c r="S281" s="1004">
        <f t="shared" si="243"/>
        <v>3.6937565488512343</v>
      </c>
      <c r="T281" s="1004">
        <f t="shared" si="243"/>
        <v>2.4786204869184054</v>
      </c>
      <c r="U281" s="191">
        <f t="shared" si="243"/>
        <v>2.8386246645490703</v>
      </c>
      <c r="V281" s="1004">
        <f t="shared" si="243"/>
        <v>1.4229740546239018</v>
      </c>
      <c r="W281" s="1004">
        <f t="shared" si="243"/>
        <v>0.3986885091780854</v>
      </c>
      <c r="X281" s="1004">
        <f t="shared" si="243"/>
        <v>-1.4661933334059289</v>
      </c>
      <c r="Y281" s="1004">
        <f t="shared" si="243"/>
        <v>2.4449455120942432E-2</v>
      </c>
      <c r="Z281" s="191">
        <f t="shared" si="243"/>
        <v>-6.8778963731581211E-2</v>
      </c>
      <c r="AA281" s="1004">
        <f t="shared" si="243"/>
        <v>3.7566875080572215E-2</v>
      </c>
      <c r="AB281" s="1004">
        <f t="shared" si="243"/>
        <v>1.2082003024702637E-2</v>
      </c>
      <c r="AC281" s="1004">
        <f t="shared" si="243"/>
        <v>-7.2540001401509127</v>
      </c>
      <c r="AD281" s="1004">
        <f t="shared" si="243"/>
        <v>1.2427652250860537</v>
      </c>
      <c r="AE281" s="191">
        <f t="shared" si="243"/>
        <v>1.4456588845266247</v>
      </c>
      <c r="AF281" s="1004">
        <f t="shared" si="243"/>
        <v>1.3179045540848544</v>
      </c>
      <c r="AG281" s="1004">
        <f t="shared" si="243"/>
        <v>1.5792890468046976</v>
      </c>
      <c r="AH281" s="1004">
        <f t="shared" si="243"/>
        <v>-1.7782867707477408</v>
      </c>
      <c r="AI281" s="1004">
        <f t="shared" si="243"/>
        <v>-1.6913687575337586</v>
      </c>
      <c r="AJ281" s="191">
        <f t="shared" si="243"/>
        <v>-0.76222270149979865</v>
      </c>
      <c r="AK281" s="1004">
        <f t="shared" si="243"/>
        <v>-0.12587315360467966</v>
      </c>
      <c r="AL281" s="1004">
        <f t="shared" si="243"/>
        <v>-0.73051149676854499</v>
      </c>
      <c r="AM281" s="1004">
        <f t="shared" si="243"/>
        <v>-0.37373577408417868</v>
      </c>
      <c r="AN281" s="1004">
        <f t="shared" si="243"/>
        <v>-0.13117842219299147</v>
      </c>
      <c r="AO281" s="191">
        <f t="shared" si="243"/>
        <v>-0.82219840081634099</v>
      </c>
      <c r="AP281" s="1004">
        <f t="shared" si="243"/>
        <v>-1.5423211729467967</v>
      </c>
      <c r="AQ281" s="1004">
        <f t="shared" si="243"/>
        <v>-2.9527284453415121</v>
      </c>
      <c r="AR281" s="1004">
        <f t="shared" si="243"/>
        <v>2.0996168582375478</v>
      </c>
      <c r="AS281" s="1004">
        <f t="shared" si="243"/>
        <v>0.60038297860496903</v>
      </c>
      <c r="AT281" s="191">
        <f t="shared" si="243"/>
        <v>-29.89855072463768</v>
      </c>
      <c r="AU281" s="1004">
        <f t="shared" si="243"/>
        <v>1.0989399293286217</v>
      </c>
      <c r="AV281" s="1004">
        <f t="shared" si="243"/>
        <v>3.0122324159021403</v>
      </c>
      <c r="AW281" s="820">
        <f t="shared" si="243"/>
        <v>1.4771322620519158</v>
      </c>
      <c r="AX281" s="934">
        <f t="shared" si="243"/>
        <v>3.0247950176713889</v>
      </c>
      <c r="AY281" s="933">
        <f t="shared" si="243"/>
        <v>2.1214930467206865</v>
      </c>
      <c r="AZ281" s="934">
        <f t="shared" si="243"/>
        <v>4.3203309022215359</v>
      </c>
      <c r="BA281" s="934">
        <f t="shared" si="243"/>
        <v>1.7574146908255832</v>
      </c>
      <c r="BB281" s="934">
        <f t="shared" si="243"/>
        <v>1.3692112321542171</v>
      </c>
      <c r="BC281" s="934">
        <f t="shared" si="243"/>
        <v>1.0081650066933183</v>
      </c>
      <c r="BD281" s="933">
        <f t="shared" si="243"/>
        <v>1.5984328384309401</v>
      </c>
      <c r="BE281" s="933">
        <f>BE279/BD279-1</f>
        <v>0.24395949530614214</v>
      </c>
      <c r="BF281" s="933">
        <f>BF279/BE279-1</f>
        <v>0.23293277331839701</v>
      </c>
      <c r="BG281" s="933">
        <f>BG279/BF279-1</f>
        <v>0.22530241176493027</v>
      </c>
      <c r="BH281" s="935"/>
    </row>
    <row r="282" spans="1:60" s="926" customFormat="1" ht="7.5" customHeight="1" x14ac:dyDescent="0.25">
      <c r="A282" s="921"/>
      <c r="B282" s="922"/>
      <c r="C282" s="252"/>
      <c r="D282" s="252"/>
      <c r="E282" s="252"/>
      <c r="F282" s="252"/>
      <c r="G282" s="370"/>
      <c r="H282" s="370"/>
      <c r="I282" s="370"/>
      <c r="J282" s="370"/>
      <c r="K282" s="252"/>
      <c r="L282" s="370"/>
      <c r="M282" s="370"/>
      <c r="N282" s="370"/>
      <c r="O282" s="370"/>
      <c r="P282" s="252"/>
      <c r="Q282" s="370"/>
      <c r="R282" s="370"/>
      <c r="S282" s="370"/>
      <c r="T282" s="370"/>
      <c r="U282" s="252"/>
      <c r="V282" s="370"/>
      <c r="W282" s="370"/>
      <c r="X282" s="370"/>
      <c r="Y282" s="370"/>
      <c r="Z282" s="252"/>
      <c r="AA282" s="370"/>
      <c r="AB282" s="370"/>
      <c r="AC282" s="370"/>
      <c r="AD282" s="370"/>
      <c r="AE282" s="252"/>
      <c r="AF282" s="370"/>
      <c r="AG282" s="370"/>
      <c r="AH282" s="370"/>
      <c r="AI282" s="370"/>
      <c r="AJ282" s="252"/>
      <c r="AK282" s="370"/>
      <c r="AL282" s="370"/>
      <c r="AM282" s="370"/>
      <c r="AN282" s="370"/>
      <c r="AO282" s="252"/>
      <c r="AP282" s="370"/>
      <c r="AQ282" s="370"/>
      <c r="AR282" s="370"/>
      <c r="AS282" s="370"/>
      <c r="AT282" s="252"/>
      <c r="AU282" s="370"/>
      <c r="AV282" s="370"/>
      <c r="AW282" s="728"/>
      <c r="AX282" s="924"/>
      <c r="AY282" s="923"/>
      <c r="AZ282" s="924"/>
      <c r="BA282" s="924"/>
      <c r="BB282" s="924"/>
      <c r="BC282" s="924"/>
      <c r="BD282" s="923"/>
      <c r="BE282" s="923"/>
      <c r="BF282" s="923"/>
      <c r="BG282" s="923"/>
      <c r="BH282" s="925"/>
    </row>
    <row r="283" spans="1:60" s="942" customFormat="1" x14ac:dyDescent="0.25">
      <c r="A283" s="937" t="s">
        <v>769</v>
      </c>
      <c r="B283" s="938"/>
      <c r="C283" s="100">
        <f t="shared" ref="C283:AH283" si="244">C279/C255</f>
        <v>-0.46360201173811677</v>
      </c>
      <c r="D283" s="100">
        <f t="shared" si="244"/>
        <v>-1.2577777016377716</v>
      </c>
      <c r="E283" s="100">
        <f t="shared" si="244"/>
        <v>-1.2313236258947715</v>
      </c>
      <c r="F283" s="100">
        <f t="shared" si="244"/>
        <v>-0.95408899084344811</v>
      </c>
      <c r="G283" s="1005">
        <f t="shared" si="244"/>
        <v>-9.939621781726948E-3</v>
      </c>
      <c r="H283" s="1005">
        <f t="shared" si="244"/>
        <v>-2.9106059895492663E-2</v>
      </c>
      <c r="I283" s="1005">
        <f t="shared" si="244"/>
        <v>-7.0834086788796005E-2</v>
      </c>
      <c r="J283" s="1005">
        <f t="shared" si="244"/>
        <v>-2.1704466214469888E-2</v>
      </c>
      <c r="K283" s="100">
        <f t="shared" si="244"/>
        <v>-3.0436117081931079E-2</v>
      </c>
      <c r="L283" s="1005">
        <f t="shared" si="244"/>
        <v>-7.0852577263102276E-2</v>
      </c>
      <c r="M283" s="1005">
        <f t="shared" si="244"/>
        <v>-3.7373155745961978E-2</v>
      </c>
      <c r="N283" s="1005">
        <f t="shared" si="244"/>
        <v>-4.5936623918178383E-2</v>
      </c>
      <c r="O283" s="1005">
        <f t="shared" si="244"/>
        <v>-7.8228337937890316E-2</v>
      </c>
      <c r="P283" s="100">
        <f t="shared" si="244"/>
        <v>-5.8370300241749079E-2</v>
      </c>
      <c r="Q283" s="1005">
        <f t="shared" si="244"/>
        <v>-0.10899902115163627</v>
      </c>
      <c r="R283" s="1005">
        <f t="shared" si="244"/>
        <v>-0.17821180846429646</v>
      </c>
      <c r="S283" s="1005">
        <f t="shared" si="244"/>
        <v>-0.19605482130981475</v>
      </c>
      <c r="T283" s="1005">
        <f t="shared" si="244"/>
        <v>-0.21437523674632314</v>
      </c>
      <c r="U283" s="100">
        <f t="shared" si="244"/>
        <v>-0.17711927138364195</v>
      </c>
      <c r="V283" s="1005">
        <f t="shared" si="244"/>
        <v>-0.2164024522077542</v>
      </c>
      <c r="W283" s="1005">
        <f t="shared" si="244"/>
        <v>-0.18743056195310767</v>
      </c>
      <c r="X283" s="1005">
        <f t="shared" si="244"/>
        <v>3.7252288077631805E-2</v>
      </c>
      <c r="Y283" s="1005">
        <f t="shared" si="244"/>
        <v>-0.11673570042602076</v>
      </c>
      <c r="Z283" s="100">
        <f t="shared" si="244"/>
        <v>-9.5332488015940367E-2</v>
      </c>
      <c r="AA283" s="1005">
        <f t="shared" si="244"/>
        <v>-9.5520478290378921E-2</v>
      </c>
      <c r="AB283" s="1005">
        <f t="shared" si="244"/>
        <v>-8.6363533708040452E-2</v>
      </c>
      <c r="AC283" s="1005">
        <f t="shared" si="244"/>
        <v>-0.1794098184894502</v>
      </c>
      <c r="AD283" s="1005">
        <f t="shared" si="244"/>
        <v>-0.18190258706077334</v>
      </c>
      <c r="AE283" s="100">
        <f t="shared" si="244"/>
        <v>-0.13879756446921951</v>
      </c>
      <c r="AF283" s="1005">
        <f t="shared" si="244"/>
        <v>-0.17512983494540968</v>
      </c>
      <c r="AG283" s="1005">
        <f t="shared" si="244"/>
        <v>-0.15526140295250351</v>
      </c>
      <c r="AH283" s="1005">
        <f t="shared" si="244"/>
        <v>6.1068549045903295E-2</v>
      </c>
      <c r="AI283" s="1005">
        <f t="shared" ref="AI283:BG283" si="245">AI279/AI255</f>
        <v>5.7229901494255504E-2</v>
      </c>
      <c r="AJ283" s="100">
        <f t="shared" si="245"/>
        <v>-1.8082482358451488E-2</v>
      </c>
      <c r="AK283" s="1005">
        <f t="shared" si="245"/>
        <v>-0.11490369625301447</v>
      </c>
      <c r="AL283" s="1005">
        <f t="shared" si="245"/>
        <v>-2.6372684212548885E-2</v>
      </c>
      <c r="AM283" s="1005">
        <f t="shared" si="245"/>
        <v>4.1408852927177532E-2</v>
      </c>
      <c r="AN283" s="1005">
        <f t="shared" si="245"/>
        <v>4.8658696129124816E-2</v>
      </c>
      <c r="AO283" s="100">
        <f t="shared" si="245"/>
        <v>-2.8073887216209618E-3</v>
      </c>
      <c r="AP283" s="1005">
        <f t="shared" si="245"/>
        <v>4.7284878863826235E-2</v>
      </c>
      <c r="AQ283" s="1005">
        <f t="shared" si="245"/>
        <v>5.4174950298210733E-2</v>
      </c>
      <c r="AR283" s="1005">
        <f t="shared" si="245"/>
        <v>9.2235776992361185E-2</v>
      </c>
      <c r="AS283" s="1005">
        <f t="shared" si="245"/>
        <v>5.3518242740134031E-2</v>
      </c>
      <c r="AT283" s="100">
        <f t="shared" si="245"/>
        <v>6.3229325215626589E-2</v>
      </c>
      <c r="AU283" s="1005">
        <f t="shared" si="245"/>
        <v>5.7175859081721049E-2</v>
      </c>
      <c r="AV283" s="1005">
        <f t="shared" si="245"/>
        <v>0.10971734403746446</v>
      </c>
      <c r="AW283" s="727">
        <f t="shared" si="245"/>
        <v>0.14567129461365122</v>
      </c>
      <c r="AX283" s="940">
        <f t="shared" si="245"/>
        <v>0.13694598281136738</v>
      </c>
      <c r="AY283" s="939">
        <f t="shared" si="245"/>
        <v>0.1174320539769889</v>
      </c>
      <c r="AZ283" s="940">
        <f t="shared" si="245"/>
        <v>0.14765015903998505</v>
      </c>
      <c r="BA283" s="940">
        <f t="shared" si="245"/>
        <v>0.14341434490142921</v>
      </c>
      <c r="BB283" s="940">
        <f t="shared" si="245"/>
        <v>0.15726271166685252</v>
      </c>
      <c r="BC283" s="940">
        <f t="shared" si="245"/>
        <v>0.1362905531437304</v>
      </c>
      <c r="BD283" s="939">
        <f t="shared" si="245"/>
        <v>0.14581104069438069</v>
      </c>
      <c r="BE283" s="939">
        <f t="shared" si="245"/>
        <v>0.14711754468508215</v>
      </c>
      <c r="BF283" s="939">
        <f t="shared" si="245"/>
        <v>0.14802084442195304</v>
      </c>
      <c r="BG283" s="939">
        <f t="shared" si="245"/>
        <v>0.14793042904765397</v>
      </c>
      <c r="BH283" s="941"/>
    </row>
    <row r="284" spans="1:60" s="936" customFormat="1" x14ac:dyDescent="0.25">
      <c r="A284" s="931" t="s">
        <v>746</v>
      </c>
      <c r="B284" s="932"/>
      <c r="C284" s="191"/>
      <c r="D284" s="191"/>
      <c r="E284" s="191"/>
      <c r="F284" s="191"/>
      <c r="G284" s="1004"/>
      <c r="H284" s="1004"/>
      <c r="I284" s="1004"/>
      <c r="J284" s="1004"/>
      <c r="K284" s="191"/>
      <c r="L284" s="1004"/>
      <c r="M284" s="1004"/>
      <c r="N284" s="1004"/>
      <c r="O284" s="1004"/>
      <c r="P284" s="191"/>
      <c r="Q284" s="1004"/>
      <c r="R284" s="1004"/>
      <c r="S284" s="1004"/>
      <c r="T284" s="1004"/>
      <c r="U284" s="191"/>
      <c r="V284" s="1004"/>
      <c r="W284" s="1004"/>
      <c r="X284" s="1004"/>
      <c r="Y284" s="1004"/>
      <c r="Z284" s="191"/>
      <c r="AA284" s="1004"/>
      <c r="AB284" s="1004"/>
      <c r="AC284" s="1004"/>
      <c r="AD284" s="1004"/>
      <c r="AE284" s="191"/>
      <c r="AF284" s="1004"/>
      <c r="AG284" s="1004"/>
      <c r="AH284" s="1004"/>
      <c r="AI284" s="1004"/>
      <c r="AJ284" s="191"/>
      <c r="AK284" s="1004"/>
      <c r="AL284" s="1004"/>
      <c r="AM284" s="1004"/>
      <c r="AN284" s="1004"/>
      <c r="AO284" s="191"/>
      <c r="AP284" s="1004"/>
      <c r="AQ284" s="1004"/>
      <c r="AR284" s="1004"/>
      <c r="AS284" s="1004"/>
      <c r="AT284" s="191"/>
      <c r="AU284" s="1004"/>
      <c r="AV284" s="1004"/>
      <c r="AW284" s="820"/>
      <c r="AX284" s="934">
        <f t="shared" ref="AX284:BG284" ca="1" si="246">AX324</f>
        <v>0</v>
      </c>
      <c r="AY284" s="933">
        <f t="shared" ca="1" si="246"/>
        <v>0</v>
      </c>
      <c r="AZ284" s="934">
        <f t="shared" ca="1" si="246"/>
        <v>0</v>
      </c>
      <c r="BA284" s="934">
        <f t="shared" ca="1" si="246"/>
        <v>0</v>
      </c>
      <c r="BB284" s="934">
        <f t="shared" ca="1" si="246"/>
        <v>0</v>
      </c>
      <c r="BC284" s="934">
        <f t="shared" ca="1" si="246"/>
        <v>0</v>
      </c>
      <c r="BD284" s="933">
        <f t="shared" ca="1" si="246"/>
        <v>0</v>
      </c>
      <c r="BE284" s="933">
        <f t="shared" ca="1" si="246"/>
        <v>0</v>
      </c>
      <c r="BF284" s="933">
        <f t="shared" ca="1" si="246"/>
        <v>0</v>
      </c>
      <c r="BG284" s="933">
        <f t="shared" ca="1" si="246"/>
        <v>0</v>
      </c>
      <c r="BH284" s="935"/>
    </row>
    <row r="285" spans="1:60" s="944" customFormat="1" x14ac:dyDescent="0.25">
      <c r="A285" s="943" t="s">
        <v>770</v>
      </c>
      <c r="B285" s="919"/>
      <c r="C285" s="440"/>
      <c r="D285" s="440">
        <f>(D283-C283)*10000</f>
        <v>-7941.7568989965484</v>
      </c>
      <c r="E285" s="440">
        <f>(E283-D283)*10000</f>
        <v>264.54075743000072</v>
      </c>
      <c r="F285" s="440">
        <f>(F283-E283)*10000</f>
        <v>2772.346350513234</v>
      </c>
      <c r="G285" s="439"/>
      <c r="H285" s="439"/>
      <c r="I285" s="439"/>
      <c r="J285" s="439"/>
      <c r="K285" s="440">
        <f t="shared" ref="K285:BD285" si="247">(K283-F283)*10000</f>
        <v>9236.52873761517</v>
      </c>
      <c r="L285" s="439">
        <f t="shared" si="247"/>
        <v>-609.12955481375332</v>
      </c>
      <c r="M285" s="439">
        <f t="shared" si="247"/>
        <v>-82.670958504693147</v>
      </c>
      <c r="N285" s="439">
        <f t="shared" si="247"/>
        <v>248.97462870617622</v>
      </c>
      <c r="O285" s="439">
        <f t="shared" si="247"/>
        <v>-565.23871723420427</v>
      </c>
      <c r="P285" s="440">
        <f t="shared" si="247"/>
        <v>-279.34183159818002</v>
      </c>
      <c r="Q285" s="439">
        <f t="shared" si="247"/>
        <v>-381.46443888533997</v>
      </c>
      <c r="R285" s="439">
        <f t="shared" si="247"/>
        <v>-1408.3865271833449</v>
      </c>
      <c r="S285" s="439">
        <f t="shared" si="247"/>
        <v>-1501.1819739163636</v>
      </c>
      <c r="T285" s="439">
        <f t="shared" si="247"/>
        <v>-1361.4689880843284</v>
      </c>
      <c r="U285" s="440">
        <f t="shared" si="247"/>
        <v>-1187.4897114189287</v>
      </c>
      <c r="V285" s="439">
        <f t="shared" si="247"/>
        <v>-1074.0343105611792</v>
      </c>
      <c r="W285" s="439">
        <f t="shared" si="247"/>
        <v>-92.187534888112097</v>
      </c>
      <c r="X285" s="439">
        <f t="shared" si="247"/>
        <v>2333.0710938744655</v>
      </c>
      <c r="Y285" s="439">
        <f t="shared" si="247"/>
        <v>976.39536320302386</v>
      </c>
      <c r="Z285" s="440">
        <f t="shared" si="247"/>
        <v>817.86783367701582</v>
      </c>
      <c r="AA285" s="439">
        <f t="shared" si="247"/>
        <v>1208.8197391737529</v>
      </c>
      <c r="AB285" s="439">
        <f t="shared" si="247"/>
        <v>1010.6702824506722</v>
      </c>
      <c r="AC285" s="439">
        <f t="shared" si="247"/>
        <v>-2166.6210656708199</v>
      </c>
      <c r="AD285" s="439">
        <f t="shared" si="247"/>
        <v>-651.66886634752575</v>
      </c>
      <c r="AE285" s="440">
        <f t="shared" si="247"/>
        <v>-434.65076453279141</v>
      </c>
      <c r="AF285" s="439">
        <f t="shared" si="247"/>
        <v>-796.09356655030763</v>
      </c>
      <c r="AG285" s="439">
        <f t="shared" si="247"/>
        <v>-688.97869244463061</v>
      </c>
      <c r="AH285" s="439">
        <f t="shared" si="247"/>
        <v>2404.7836753535353</v>
      </c>
      <c r="AI285" s="439">
        <f t="shared" si="247"/>
        <v>2391.3248855502884</v>
      </c>
      <c r="AJ285" s="440">
        <f t="shared" si="247"/>
        <v>1207.1508211076803</v>
      </c>
      <c r="AK285" s="439">
        <f t="shared" si="247"/>
        <v>602.26138692395205</v>
      </c>
      <c r="AL285" s="439">
        <f t="shared" si="247"/>
        <v>1288.8871873995463</v>
      </c>
      <c r="AM285" s="439">
        <f t="shared" si="247"/>
        <v>-196.59696118725762</v>
      </c>
      <c r="AN285" s="439">
        <f t="shared" si="247"/>
        <v>-85.712053651306874</v>
      </c>
      <c r="AO285" s="440">
        <f t="shared" si="247"/>
        <v>152.75093636830525</v>
      </c>
      <c r="AP285" s="439">
        <f t="shared" si="247"/>
        <v>1621.8857511684071</v>
      </c>
      <c r="AQ285" s="439">
        <f t="shared" si="247"/>
        <v>805.47634510759622</v>
      </c>
      <c r="AR285" s="439">
        <f t="shared" si="247"/>
        <v>508.26924065183653</v>
      </c>
      <c r="AS285" s="439">
        <f t="shared" si="247"/>
        <v>48.595466110092147</v>
      </c>
      <c r="AT285" s="440">
        <f t="shared" si="247"/>
        <v>660.36713937247555</v>
      </c>
      <c r="AU285" s="439">
        <f t="shared" si="247"/>
        <v>98.909802178948141</v>
      </c>
      <c r="AV285" s="439">
        <f t="shared" si="247"/>
        <v>555.42393739253725</v>
      </c>
      <c r="AW285" s="726">
        <f t="shared" si="247"/>
        <v>534.35517621290035</v>
      </c>
      <c r="AX285" s="920">
        <f t="shared" si="247"/>
        <v>834.27740071233347</v>
      </c>
      <c r="AY285" s="591">
        <f t="shared" si="247"/>
        <v>542.02728761362312</v>
      </c>
      <c r="AZ285" s="920">
        <f t="shared" si="247"/>
        <v>904.7429995826401</v>
      </c>
      <c r="BA285" s="920">
        <f t="shared" si="247"/>
        <v>336.97000863964752</v>
      </c>
      <c r="BB285" s="920">
        <f t="shared" si="247"/>
        <v>115.91417053201297</v>
      </c>
      <c r="BC285" s="920">
        <f t="shared" si="247"/>
        <v>-6.554296676369864</v>
      </c>
      <c r="BD285" s="591">
        <f t="shared" si="247"/>
        <v>283.78986717391791</v>
      </c>
      <c r="BE285" s="591">
        <f>(BE283-BD283)*10000</f>
        <v>13.065039907014519</v>
      </c>
      <c r="BF285" s="591">
        <f>(BF283-BE283)*10000</f>
        <v>9.0329973687089389</v>
      </c>
      <c r="BG285" s="591">
        <f>(BG283-BF283)*10000</f>
        <v>-0.90415374299074314</v>
      </c>
      <c r="BH285" s="592"/>
    </row>
    <row r="286" spans="1:60" s="926" customFormat="1" x14ac:dyDescent="0.25">
      <c r="A286" s="921"/>
      <c r="B286" s="922"/>
      <c r="C286" s="252"/>
      <c r="D286" s="252"/>
      <c r="E286" s="252"/>
      <c r="F286" s="252"/>
      <c r="G286" s="370"/>
      <c r="H286" s="370"/>
      <c r="I286" s="370"/>
      <c r="J286" s="370"/>
      <c r="K286" s="252"/>
      <c r="L286" s="370"/>
      <c r="M286" s="370"/>
      <c r="N286" s="370"/>
      <c r="O286" s="370"/>
      <c r="P286" s="252"/>
      <c r="Q286" s="370"/>
      <c r="R286" s="370"/>
      <c r="S286" s="370"/>
      <c r="T286" s="370"/>
      <c r="U286" s="252"/>
      <c r="V286" s="370"/>
      <c r="W286" s="370"/>
      <c r="X286" s="370"/>
      <c r="Y286" s="370"/>
      <c r="Z286" s="252"/>
      <c r="AA286" s="370"/>
      <c r="AB286" s="370"/>
      <c r="AC286" s="370"/>
      <c r="AD286" s="370"/>
      <c r="AE286" s="252"/>
      <c r="AF286" s="370"/>
      <c r="AG286" s="370"/>
      <c r="AH286" s="370"/>
      <c r="AI286" s="370"/>
      <c r="AJ286" s="252"/>
      <c r="AK286" s="370"/>
      <c r="AL286" s="370"/>
      <c r="AM286" s="370"/>
      <c r="AN286" s="370"/>
      <c r="AO286" s="252"/>
      <c r="AP286" s="370"/>
      <c r="AQ286" s="370"/>
      <c r="AR286" s="370"/>
      <c r="AS286" s="370"/>
      <c r="AT286" s="252"/>
      <c r="AU286" s="370"/>
      <c r="AV286" s="370"/>
      <c r="AW286" s="728"/>
      <c r="AX286" s="924"/>
      <c r="AY286" s="923"/>
      <c r="AZ286" s="924"/>
      <c r="BA286" s="924"/>
      <c r="BB286" s="924"/>
      <c r="BC286" s="924"/>
      <c r="BD286" s="923"/>
      <c r="BE286" s="923"/>
      <c r="BF286" s="923"/>
      <c r="BG286" s="923"/>
      <c r="BH286" s="925"/>
    </row>
    <row r="287" spans="1:60" s="112" customFormat="1" x14ac:dyDescent="0.25">
      <c r="A287" s="1020" t="s">
        <v>747</v>
      </c>
      <c r="B287" s="1020"/>
      <c r="C287" s="1043"/>
      <c r="D287" s="1043"/>
      <c r="E287" s="1043"/>
      <c r="F287" s="1043"/>
      <c r="G287" s="1043"/>
      <c r="H287" s="1043"/>
      <c r="I287" s="1043"/>
      <c r="J287" s="1043"/>
      <c r="K287" s="1043"/>
      <c r="L287" s="1043"/>
      <c r="M287" s="1043"/>
      <c r="N287" s="1043"/>
      <c r="O287" s="1043"/>
      <c r="P287" s="1043"/>
      <c r="Q287" s="1043"/>
      <c r="R287" s="1043"/>
      <c r="S287" s="1043"/>
      <c r="T287" s="1043"/>
      <c r="U287" s="1043"/>
      <c r="V287" s="1043"/>
      <c r="W287" s="1043"/>
      <c r="X287" s="1043"/>
      <c r="Y287" s="1043"/>
      <c r="Z287" s="1043"/>
      <c r="AA287" s="1043"/>
      <c r="AB287" s="1043"/>
      <c r="AC287" s="1043"/>
      <c r="AD287" s="1043"/>
      <c r="AE287" s="1043"/>
      <c r="AF287" s="1043"/>
      <c r="AG287" s="1043"/>
      <c r="AH287" s="1043"/>
      <c r="AI287" s="1043"/>
      <c r="AJ287" s="1043"/>
      <c r="AK287" s="1043"/>
      <c r="AL287" s="1043"/>
      <c r="AM287" s="1043"/>
      <c r="AN287" s="1043"/>
      <c r="AO287" s="1043"/>
      <c r="AP287" s="1043"/>
      <c r="AQ287" s="1043"/>
      <c r="AR287" s="1043"/>
      <c r="AS287" s="1043"/>
      <c r="AT287" s="1043"/>
      <c r="AU287" s="1043"/>
      <c r="AV287" s="1043"/>
      <c r="AW287" s="1044"/>
      <c r="AX287" s="1043"/>
      <c r="AY287" s="1043"/>
      <c r="AZ287" s="1043"/>
      <c r="BA287" s="1043"/>
      <c r="BB287" s="1043"/>
      <c r="BC287" s="1043"/>
      <c r="BD287" s="1043"/>
      <c r="BE287" s="1043"/>
      <c r="BF287" s="1043"/>
      <c r="BG287" s="1043"/>
      <c r="BH287" s="1034"/>
    </row>
    <row r="288" spans="1:60" s="356" customFormat="1" hidden="1" outlineLevel="1" x14ac:dyDescent="0.25">
      <c r="A288" s="526" t="s">
        <v>109</v>
      </c>
      <c r="B288" s="450"/>
      <c r="C288" s="440"/>
      <c r="D288" s="440">
        <v>0.24299999999999999</v>
      </c>
      <c r="E288" s="440">
        <v>0.67</v>
      </c>
      <c r="F288" s="440">
        <v>2.194</v>
      </c>
      <c r="G288" s="439">
        <v>1.536</v>
      </c>
      <c r="H288" s="439">
        <v>1.0629999999999999</v>
      </c>
      <c r="I288" s="439">
        <v>3.0169999999999999</v>
      </c>
      <c r="J288" s="439">
        <v>5.383</v>
      </c>
      <c r="K288" s="440">
        <f>SUM(G288,H288,I288,J288)</f>
        <v>10.998999999999999</v>
      </c>
      <c r="L288" s="439">
        <v>3.1059999999999999</v>
      </c>
      <c r="M288" s="439">
        <v>3.9119999999999999</v>
      </c>
      <c r="N288" s="439">
        <v>5.383</v>
      </c>
      <c r="O288" s="439">
        <v>5.0529999999999999</v>
      </c>
      <c r="P288" s="440">
        <f>SUM(L288,M288,N288,O288)</f>
        <v>17.454000000000001</v>
      </c>
      <c r="Q288" s="439">
        <v>4.601</v>
      </c>
      <c r="R288" s="439">
        <v>4.82</v>
      </c>
      <c r="S288" s="439">
        <v>3.8279999999999998</v>
      </c>
      <c r="T288" s="439">
        <v>5.9950000000000001</v>
      </c>
      <c r="U288" s="440">
        <f>SUM(Q288,R288,S288,T288)</f>
        <v>19.244</v>
      </c>
      <c r="V288" s="439">
        <v>6.4029999999999996</v>
      </c>
      <c r="W288" s="439">
        <v>6.4950000000000001</v>
      </c>
      <c r="X288" s="439">
        <v>8.9390000000000001</v>
      </c>
      <c r="Y288" s="439">
        <v>8.5619999999999994</v>
      </c>
      <c r="Z288" s="440">
        <v>30.4</v>
      </c>
      <c r="AA288" s="439">
        <v>10.031000000000001</v>
      </c>
      <c r="AB288" s="439">
        <v>7.4660000000000002</v>
      </c>
      <c r="AC288" s="439">
        <v>10.166</v>
      </c>
      <c r="AD288" s="439">
        <v>16.181999999999999</v>
      </c>
      <c r="AE288" s="440">
        <v>43.844999999999999</v>
      </c>
      <c r="AF288" s="439">
        <v>18.085000000000001</v>
      </c>
      <c r="AG288" s="439">
        <v>16.081</v>
      </c>
      <c r="AH288" s="439">
        <v>25.036999999999999</v>
      </c>
      <c r="AI288" s="439">
        <f>AJ288-SUM(AF288,AG288,AH288)</f>
        <v>26.539000000000009</v>
      </c>
      <c r="AJ288" s="440">
        <v>85.742000000000004</v>
      </c>
      <c r="AK288" s="439">
        <v>19.837</v>
      </c>
      <c r="AL288" s="439">
        <v>34.606999999999999</v>
      </c>
      <c r="AM288" s="439">
        <v>29</v>
      </c>
      <c r="AN288" s="439">
        <f>AO288-SUM(AK288,AL288,AM288)</f>
        <v>44.555999999999997</v>
      </c>
      <c r="AO288" s="440">
        <v>128</v>
      </c>
      <c r="AP288" s="439">
        <v>33</v>
      </c>
      <c r="AQ288" s="439">
        <v>52</v>
      </c>
      <c r="AR288" s="439">
        <v>62</v>
      </c>
      <c r="AS288" s="439">
        <f>AT288-SUM(AP288,AQ288,AR288)</f>
        <v>134</v>
      </c>
      <c r="AT288" s="440">
        <v>281</v>
      </c>
      <c r="AU288" s="439">
        <v>103</v>
      </c>
      <c r="AV288" s="439">
        <v>108</v>
      </c>
      <c r="AW288" s="726">
        <v>99</v>
      </c>
      <c r="AX288" s="441">
        <v>105</v>
      </c>
      <c r="AY288" s="440">
        <f>SUM(AU288,AV288,AW288,AX288)</f>
        <v>415</v>
      </c>
      <c r="AZ288" s="441">
        <v>105</v>
      </c>
      <c r="BA288" s="441">
        <v>105</v>
      </c>
      <c r="BB288" s="441">
        <v>105</v>
      </c>
      <c r="BC288" s="441">
        <v>105</v>
      </c>
      <c r="BD288" s="440">
        <f>SUM(AZ288,BA288,BB288,BC288)</f>
        <v>420</v>
      </c>
      <c r="BE288" s="1008">
        <v>420</v>
      </c>
      <c r="BF288" s="1008">
        <v>420</v>
      </c>
      <c r="BG288" s="1008">
        <v>420</v>
      </c>
      <c r="BH288" s="361"/>
    </row>
    <row r="289" spans="1:60" s="356" customFormat="1" hidden="1" outlineLevel="1" x14ac:dyDescent="0.25">
      <c r="A289" s="526" t="s">
        <v>110</v>
      </c>
      <c r="B289" s="450"/>
      <c r="C289" s="440"/>
      <c r="D289" s="440">
        <v>4.1390000000000002</v>
      </c>
      <c r="E289" s="440">
        <v>13.377000000000001</v>
      </c>
      <c r="F289" s="440">
        <v>26.58</v>
      </c>
      <c r="G289" s="439">
        <v>7.6440000000000001</v>
      </c>
      <c r="H289" s="439">
        <v>8.5649999999999995</v>
      </c>
      <c r="I289" s="439">
        <v>8.7070000000000007</v>
      </c>
      <c r="J289" s="439">
        <v>16.638999999999999</v>
      </c>
      <c r="K289" s="440">
        <f>SUM(G289,H289,I289,J289)</f>
        <v>41.555</v>
      </c>
      <c r="L289" s="439">
        <v>13.545</v>
      </c>
      <c r="M289" s="439">
        <v>14.821999999999999</v>
      </c>
      <c r="N289" s="439">
        <v>16.638999999999999</v>
      </c>
      <c r="O289" s="439">
        <v>17.594999999999999</v>
      </c>
      <c r="P289" s="440">
        <f>SUM(L289,M289,N289,O289)</f>
        <v>62.600999999999999</v>
      </c>
      <c r="Q289" s="439">
        <v>19.792000000000002</v>
      </c>
      <c r="R289" s="439">
        <v>19.911999999999999</v>
      </c>
      <c r="S289" s="439">
        <v>24.152999999999999</v>
      </c>
      <c r="T289" s="439">
        <v>25.452000000000002</v>
      </c>
      <c r="U289" s="440">
        <f>SUM(Q289,R289,S289,T289)</f>
        <v>89.308999999999997</v>
      </c>
      <c r="V289" s="439">
        <v>39.601999999999997</v>
      </c>
      <c r="W289" s="439">
        <v>33.506</v>
      </c>
      <c r="X289" s="439">
        <v>40.22</v>
      </c>
      <c r="Y289" s="439">
        <v>41.304000000000002</v>
      </c>
      <c r="Z289" s="440">
        <v>154.63200000000001</v>
      </c>
      <c r="AA289" s="439">
        <v>49.192</v>
      </c>
      <c r="AB289" s="439">
        <v>57.793999999999997</v>
      </c>
      <c r="AC289" s="439">
        <v>51.066000000000003</v>
      </c>
      <c r="AD289" s="439">
        <v>59.564</v>
      </c>
      <c r="AE289" s="440">
        <v>217.61600000000001</v>
      </c>
      <c r="AF289" s="439">
        <v>61.106999999999999</v>
      </c>
      <c r="AG289" s="439">
        <v>65.936999999999998</v>
      </c>
      <c r="AH289" s="439">
        <v>65.718000000000004</v>
      </c>
      <c r="AI289" s="439">
        <f>AJ289-SUM(AF289,AG289,AH289)</f>
        <v>68.317000000000007</v>
      </c>
      <c r="AJ289" s="440">
        <v>261.07900000000001</v>
      </c>
      <c r="AK289" s="439">
        <v>72.481999999999999</v>
      </c>
      <c r="AL289" s="439">
        <v>71.474000000000004</v>
      </c>
      <c r="AM289" s="439">
        <v>72</v>
      </c>
      <c r="AN289" s="439">
        <f>AO289-SUM(AK289,AL289,AM289)</f>
        <v>69.043999999999983</v>
      </c>
      <c r="AO289" s="440">
        <v>285</v>
      </c>
      <c r="AP289" s="439">
        <v>65</v>
      </c>
      <c r="AQ289" s="439">
        <v>73</v>
      </c>
      <c r="AR289" s="439">
        <v>76</v>
      </c>
      <c r="AS289" s="439">
        <f>AT289-SUM(AP289,AQ289,AR289)</f>
        <v>132</v>
      </c>
      <c r="AT289" s="440">
        <v>346</v>
      </c>
      <c r="AU289" s="439">
        <v>125</v>
      </c>
      <c r="AV289" s="439">
        <v>104</v>
      </c>
      <c r="AW289" s="726">
        <v>105</v>
      </c>
      <c r="AX289" s="441">
        <v>10</v>
      </c>
      <c r="AY289" s="440">
        <f>SUM(AU289,AV289,AW289,AX289)</f>
        <v>344</v>
      </c>
      <c r="AZ289" s="441">
        <v>10</v>
      </c>
      <c r="BA289" s="441">
        <v>10</v>
      </c>
      <c r="BB289" s="441">
        <v>10</v>
      </c>
      <c r="BC289" s="441">
        <v>10</v>
      </c>
      <c r="BD289" s="440">
        <f>SUM(AZ289,BA289,BB289,BC289)</f>
        <v>40</v>
      </c>
      <c r="BE289" s="1008">
        <v>40</v>
      </c>
      <c r="BF289" s="1008">
        <v>40</v>
      </c>
      <c r="BG289" s="1008">
        <v>40</v>
      </c>
      <c r="BH289" s="361"/>
    </row>
    <row r="290" spans="1:60" s="356" customFormat="1" hidden="1" outlineLevel="1" x14ac:dyDescent="0.25">
      <c r="A290" s="526" t="s">
        <v>111</v>
      </c>
      <c r="B290" s="450"/>
      <c r="C290" s="440"/>
      <c r="D290" s="440">
        <v>16.774000000000001</v>
      </c>
      <c r="E290" s="440">
        <v>15.372</v>
      </c>
      <c r="F290" s="440">
        <v>21.370999999999999</v>
      </c>
      <c r="G290" s="439">
        <v>5.6879999999999997</v>
      </c>
      <c r="H290" s="439">
        <v>9.6310000000000002</v>
      </c>
      <c r="I290" s="439">
        <v>9.7149999999999999</v>
      </c>
      <c r="J290" s="439">
        <v>17.135999999999999</v>
      </c>
      <c r="K290" s="440">
        <f>SUM(G290,H290,I290,J290)</f>
        <v>42.17</v>
      </c>
      <c r="L290" s="439">
        <v>20.387</v>
      </c>
      <c r="M290" s="439">
        <v>17.048999999999999</v>
      </c>
      <c r="N290" s="439">
        <v>17.135999999999999</v>
      </c>
      <c r="O290" s="439">
        <v>21.869</v>
      </c>
      <c r="P290" s="440">
        <f>SUM(L290,M290,N290,O290)</f>
        <v>76.441000000000003</v>
      </c>
      <c r="Q290" s="439">
        <v>18.632999999999999</v>
      </c>
      <c r="R290" s="439">
        <v>18.603000000000002</v>
      </c>
      <c r="S290" s="439">
        <v>28.052</v>
      </c>
      <c r="T290" s="439">
        <v>24.158000000000001</v>
      </c>
      <c r="U290" s="440">
        <f>SUM(Q290,R290,S290,T290)</f>
        <v>89.446000000000012</v>
      </c>
      <c r="V290" s="439">
        <v>43.652000000000001</v>
      </c>
      <c r="W290" s="439">
        <v>27.311</v>
      </c>
      <c r="X290" s="439">
        <v>40.384</v>
      </c>
      <c r="Y290" s="439">
        <v>37.844999999999999</v>
      </c>
      <c r="Z290" s="440">
        <v>149.19300000000001</v>
      </c>
      <c r="AA290" s="439">
        <v>44.494</v>
      </c>
      <c r="AB290" s="439">
        <v>50.781999999999996</v>
      </c>
      <c r="AC290" s="439">
        <v>51.420999999999999</v>
      </c>
      <c r="AD290" s="439">
        <v>58.601999999999997</v>
      </c>
      <c r="AE290" s="440">
        <v>205.29900000000001</v>
      </c>
      <c r="AF290" s="439">
        <v>62.447000000000003</v>
      </c>
      <c r="AG290" s="439">
        <v>111.449</v>
      </c>
      <c r="AH290" s="439">
        <v>113.973</v>
      </c>
      <c r="AI290" s="439">
        <f>AJ290-SUM(AF290,AG290,AH290)</f>
        <v>110.45699999999999</v>
      </c>
      <c r="AJ290" s="440">
        <v>398.32600000000002</v>
      </c>
      <c r="AK290" s="439">
        <v>114.07899999999999</v>
      </c>
      <c r="AL290" s="439">
        <v>102.94799999999999</v>
      </c>
      <c r="AM290" s="439">
        <v>98</v>
      </c>
      <c r="AN290" s="439">
        <f>AO290-SUM(AK290,AL290,AM290)</f>
        <v>166.97300000000001</v>
      </c>
      <c r="AO290" s="440">
        <v>482</v>
      </c>
      <c r="AP290" s="439">
        <v>113</v>
      </c>
      <c r="AQ290" s="439">
        <v>222</v>
      </c>
      <c r="AR290" s="439">
        <v>405</v>
      </c>
      <c r="AS290" s="439">
        <f>AT290-SUM(AP290,AQ290,AR290)</f>
        <v>367</v>
      </c>
      <c r="AT290" s="440">
        <v>1107</v>
      </c>
      <c r="AU290" s="439">
        <v>386</v>
      </c>
      <c r="AV290" s="439">
        <v>262</v>
      </c>
      <c r="AW290" s="726">
        <v>271</v>
      </c>
      <c r="AX290" s="441">
        <v>200</v>
      </c>
      <c r="AY290" s="440">
        <f>SUM(AU290,AV290,AW290,AX290)</f>
        <v>1119</v>
      </c>
      <c r="AZ290" s="441">
        <v>200</v>
      </c>
      <c r="BA290" s="441">
        <v>200</v>
      </c>
      <c r="BB290" s="441">
        <v>200</v>
      </c>
      <c r="BC290" s="441">
        <v>200</v>
      </c>
      <c r="BD290" s="440">
        <f>SUM(AZ290,BA290,BB290,BC290)</f>
        <v>800</v>
      </c>
      <c r="BE290" s="1008">
        <v>800</v>
      </c>
      <c r="BF290" s="1008">
        <v>800</v>
      </c>
      <c r="BG290" s="1008">
        <v>800</v>
      </c>
      <c r="BH290" s="361"/>
    </row>
    <row r="291" spans="1:60" s="356" customFormat="1" hidden="1" outlineLevel="1" x14ac:dyDescent="0.25">
      <c r="A291" s="526" t="s">
        <v>112</v>
      </c>
      <c r="B291" s="450"/>
      <c r="C291" s="440"/>
      <c r="D291" s="440"/>
      <c r="E291" s="440"/>
      <c r="F291" s="440"/>
      <c r="G291" s="439"/>
      <c r="H291" s="439"/>
      <c r="I291" s="439"/>
      <c r="J291" s="439"/>
      <c r="K291" s="440"/>
      <c r="L291" s="439"/>
      <c r="M291" s="439"/>
      <c r="N291" s="439"/>
      <c r="O291" s="439"/>
      <c r="P291" s="440"/>
      <c r="Q291" s="439"/>
      <c r="R291" s="439"/>
      <c r="S291" s="439"/>
      <c r="T291" s="439"/>
      <c r="U291" s="440"/>
      <c r="V291" s="439"/>
      <c r="W291" s="439"/>
      <c r="X291" s="439"/>
      <c r="Y291" s="439"/>
      <c r="Z291" s="440"/>
      <c r="AA291" s="439"/>
      <c r="AB291" s="439"/>
      <c r="AC291" s="439"/>
      <c r="AD291" s="439"/>
      <c r="AE291" s="440"/>
      <c r="AF291" s="439"/>
      <c r="AG291" s="439">
        <v>3.8769999999999998</v>
      </c>
      <c r="AH291" s="439"/>
      <c r="AI291" s="439"/>
      <c r="AJ291" s="440">
        <v>3.8769999999999998</v>
      </c>
      <c r="AK291" s="439">
        <v>1.98</v>
      </c>
      <c r="AL291" s="439">
        <v>0.83399999999999996</v>
      </c>
      <c r="AM291" s="439"/>
      <c r="AN291" s="439">
        <f>AO291-SUM(AK291,AL291,AM291)</f>
        <v>0.18599999999999994</v>
      </c>
      <c r="AO291" s="440">
        <v>3</v>
      </c>
      <c r="AP291" s="439"/>
      <c r="AQ291" s="439"/>
      <c r="AR291" s="439"/>
      <c r="AS291" s="439"/>
      <c r="AT291" s="440"/>
      <c r="AU291" s="439"/>
      <c r="AV291" s="439"/>
      <c r="AW291" s="726"/>
      <c r="AX291" s="441">
        <v>0</v>
      </c>
      <c r="AY291" s="440">
        <f>SUM(AU291,AV291,AW291,AX291)</f>
        <v>0</v>
      </c>
      <c r="AZ291" s="441">
        <v>0</v>
      </c>
      <c r="BA291" s="441">
        <v>0</v>
      </c>
      <c r="BB291" s="441">
        <v>0</v>
      </c>
      <c r="BC291" s="441">
        <v>0</v>
      </c>
      <c r="BD291" s="440">
        <f>SUM(AZ291,BA291,BB291,BC291)</f>
        <v>0</v>
      </c>
      <c r="BE291" s="1008">
        <v>0</v>
      </c>
      <c r="BF291" s="1008">
        <v>0</v>
      </c>
      <c r="BG291" s="1008">
        <v>0</v>
      </c>
      <c r="BH291" s="361"/>
    </row>
    <row r="292" spans="1:60" s="116" customFormat="1" hidden="1" outlineLevel="1" x14ac:dyDescent="0.25">
      <c r="A292" s="528" t="s">
        <v>113</v>
      </c>
      <c r="B292" s="529"/>
      <c r="C292" s="45"/>
      <c r="D292" s="45">
        <f t="shared" ref="D292:AI292" si="248">SUM(D288:D291)</f>
        <v>21.156000000000002</v>
      </c>
      <c r="E292" s="45">
        <f t="shared" si="248"/>
        <v>29.419</v>
      </c>
      <c r="F292" s="45">
        <f t="shared" si="248"/>
        <v>50.144999999999996</v>
      </c>
      <c r="G292" s="44">
        <f t="shared" si="248"/>
        <v>14.867999999999999</v>
      </c>
      <c r="H292" s="44">
        <f t="shared" si="248"/>
        <v>19.259</v>
      </c>
      <c r="I292" s="44">
        <f t="shared" si="248"/>
        <v>21.439</v>
      </c>
      <c r="J292" s="44">
        <f t="shared" si="248"/>
        <v>39.158000000000001</v>
      </c>
      <c r="K292" s="45">
        <f t="shared" si="248"/>
        <v>94.724000000000004</v>
      </c>
      <c r="L292" s="44">
        <f t="shared" si="248"/>
        <v>37.037999999999997</v>
      </c>
      <c r="M292" s="44">
        <f t="shared" si="248"/>
        <v>35.783000000000001</v>
      </c>
      <c r="N292" s="44">
        <f t="shared" si="248"/>
        <v>39.158000000000001</v>
      </c>
      <c r="O292" s="44">
        <f t="shared" si="248"/>
        <v>44.516999999999996</v>
      </c>
      <c r="P292" s="45">
        <f t="shared" si="248"/>
        <v>156.49600000000001</v>
      </c>
      <c r="Q292" s="44">
        <f t="shared" si="248"/>
        <v>43.025999999999996</v>
      </c>
      <c r="R292" s="44">
        <f t="shared" si="248"/>
        <v>43.335000000000001</v>
      </c>
      <c r="S292" s="44">
        <f t="shared" si="248"/>
        <v>56.033000000000001</v>
      </c>
      <c r="T292" s="44">
        <f t="shared" si="248"/>
        <v>55.605000000000004</v>
      </c>
      <c r="U292" s="45">
        <f t="shared" si="248"/>
        <v>197.99900000000002</v>
      </c>
      <c r="V292" s="44">
        <f t="shared" si="248"/>
        <v>89.656999999999996</v>
      </c>
      <c r="W292" s="44">
        <f t="shared" si="248"/>
        <v>67.311999999999998</v>
      </c>
      <c r="X292" s="44">
        <f t="shared" si="248"/>
        <v>89.543000000000006</v>
      </c>
      <c r="Y292" s="44">
        <f t="shared" si="248"/>
        <v>87.710999999999999</v>
      </c>
      <c r="Z292" s="45">
        <f t="shared" si="248"/>
        <v>334.22500000000002</v>
      </c>
      <c r="AA292" s="44">
        <f t="shared" si="248"/>
        <v>103.717</v>
      </c>
      <c r="AB292" s="44">
        <f t="shared" si="248"/>
        <v>116.04199999999999</v>
      </c>
      <c r="AC292" s="44">
        <f t="shared" si="248"/>
        <v>112.65299999999999</v>
      </c>
      <c r="AD292" s="44">
        <f t="shared" si="248"/>
        <v>134.34799999999998</v>
      </c>
      <c r="AE292" s="45">
        <f t="shared" si="248"/>
        <v>466.76</v>
      </c>
      <c r="AF292" s="44">
        <f t="shared" si="248"/>
        <v>141.63900000000001</v>
      </c>
      <c r="AG292" s="44">
        <f t="shared" si="248"/>
        <v>197.34399999999999</v>
      </c>
      <c r="AH292" s="44">
        <f t="shared" si="248"/>
        <v>204.72800000000001</v>
      </c>
      <c r="AI292" s="44">
        <f t="shared" si="248"/>
        <v>205.31300000000002</v>
      </c>
      <c r="AJ292" s="45">
        <f t="shared" ref="AJ292:BG292" si="249">SUM(AJ288:AJ291)</f>
        <v>749.024</v>
      </c>
      <c r="AK292" s="44">
        <f t="shared" si="249"/>
        <v>208.37799999999999</v>
      </c>
      <c r="AL292" s="44">
        <f t="shared" si="249"/>
        <v>209.863</v>
      </c>
      <c r="AM292" s="44">
        <f t="shared" si="249"/>
        <v>199</v>
      </c>
      <c r="AN292" s="44">
        <f t="shared" si="249"/>
        <v>280.75899999999996</v>
      </c>
      <c r="AO292" s="45">
        <f t="shared" si="249"/>
        <v>898</v>
      </c>
      <c r="AP292" s="44">
        <f t="shared" si="249"/>
        <v>211</v>
      </c>
      <c r="AQ292" s="44">
        <f t="shared" si="249"/>
        <v>347</v>
      </c>
      <c r="AR292" s="44">
        <f t="shared" si="249"/>
        <v>543</v>
      </c>
      <c r="AS292" s="44">
        <f t="shared" si="249"/>
        <v>633</v>
      </c>
      <c r="AT292" s="45">
        <f t="shared" si="249"/>
        <v>1734</v>
      </c>
      <c r="AU292" s="44">
        <f t="shared" si="249"/>
        <v>614</v>
      </c>
      <c r="AV292" s="44">
        <f t="shared" si="249"/>
        <v>474</v>
      </c>
      <c r="AW292" s="729">
        <f t="shared" si="249"/>
        <v>475</v>
      </c>
      <c r="AX292" s="44">
        <f t="shared" si="249"/>
        <v>315</v>
      </c>
      <c r="AY292" s="45">
        <f t="shared" si="249"/>
        <v>1878</v>
      </c>
      <c r="AZ292" s="44">
        <f t="shared" si="249"/>
        <v>315</v>
      </c>
      <c r="BA292" s="44">
        <f t="shared" si="249"/>
        <v>315</v>
      </c>
      <c r="BB292" s="44">
        <f t="shared" si="249"/>
        <v>315</v>
      </c>
      <c r="BC292" s="44">
        <f t="shared" si="249"/>
        <v>315</v>
      </c>
      <c r="BD292" s="45">
        <f t="shared" si="249"/>
        <v>1260</v>
      </c>
      <c r="BE292" s="45">
        <f t="shared" si="249"/>
        <v>1260</v>
      </c>
      <c r="BF292" s="45">
        <f t="shared" si="249"/>
        <v>1260</v>
      </c>
      <c r="BG292" s="45">
        <f t="shared" si="249"/>
        <v>1260</v>
      </c>
      <c r="BH292" s="368"/>
    </row>
    <row r="293" spans="1:60" s="116" customFormat="1" hidden="1" outlineLevel="1" x14ac:dyDescent="0.25">
      <c r="A293" s="530"/>
      <c r="B293" s="531"/>
      <c r="C293" s="438"/>
      <c r="D293" s="438"/>
      <c r="E293" s="438"/>
      <c r="F293" s="438"/>
      <c r="G293" s="437"/>
      <c r="H293" s="437"/>
      <c r="I293" s="437"/>
      <c r="J293" s="437"/>
      <c r="K293" s="438"/>
      <c r="L293" s="437"/>
      <c r="M293" s="437"/>
      <c r="N293" s="437"/>
      <c r="O293" s="437"/>
      <c r="P293" s="438"/>
      <c r="Q293" s="437"/>
      <c r="R293" s="437"/>
      <c r="S293" s="437"/>
      <c r="T293" s="437"/>
      <c r="U293" s="438"/>
      <c r="V293" s="437"/>
      <c r="W293" s="437"/>
      <c r="X293" s="437"/>
      <c r="Y293" s="437"/>
      <c r="Z293" s="438"/>
      <c r="AA293" s="437"/>
      <c r="AB293" s="437"/>
      <c r="AC293" s="437"/>
      <c r="AD293" s="437"/>
      <c r="AE293" s="438"/>
      <c r="AF293" s="437"/>
      <c r="AG293" s="437"/>
      <c r="AH293" s="437"/>
      <c r="AI293" s="437"/>
      <c r="AJ293" s="438"/>
      <c r="AK293" s="437"/>
      <c r="AL293" s="437"/>
      <c r="AM293" s="437"/>
      <c r="AN293" s="437"/>
      <c r="AO293" s="438"/>
      <c r="AP293" s="437"/>
      <c r="AQ293" s="437"/>
      <c r="AR293" s="437"/>
      <c r="AS293" s="437"/>
      <c r="AT293" s="438"/>
      <c r="AU293" s="437"/>
      <c r="AV293" s="437"/>
      <c r="AW293" s="725"/>
      <c r="AX293" s="437"/>
      <c r="AY293" s="438"/>
      <c r="AZ293" s="437"/>
      <c r="BA293" s="437"/>
      <c r="BB293" s="437"/>
      <c r="BC293" s="437"/>
      <c r="BD293" s="438"/>
      <c r="BE293" s="438"/>
      <c r="BF293" s="438"/>
      <c r="BG293" s="438"/>
      <c r="BH293" s="368"/>
    </row>
    <row r="294" spans="1:60" s="594" customFormat="1" hidden="1" outlineLevel="1" x14ac:dyDescent="0.25">
      <c r="A294" s="590" t="s">
        <v>545</v>
      </c>
      <c r="B294" s="610"/>
      <c r="C294" s="440">
        <v>6.9</v>
      </c>
      <c r="D294" s="440">
        <v>10</v>
      </c>
      <c r="E294" s="440">
        <v>14.6</v>
      </c>
      <c r="F294" s="440">
        <v>25.3</v>
      </c>
      <c r="G294" s="439">
        <v>17.399999999999999</v>
      </c>
      <c r="H294" s="439">
        <v>20.2</v>
      </c>
      <c r="I294" s="439">
        <v>21.2</v>
      </c>
      <c r="J294" s="439">
        <f>K294-SUM(G294,H294,I294)</f>
        <v>25.100000000000009</v>
      </c>
      <c r="K294" s="440">
        <v>83.9</v>
      </c>
      <c r="L294" s="439">
        <v>28.9</v>
      </c>
      <c r="M294" s="439">
        <v>36.1</v>
      </c>
      <c r="N294" s="439">
        <v>40.200000000000003</v>
      </c>
      <c r="O294" s="439">
        <f>P294-SUM(L294,M294,N294)</f>
        <v>50.7</v>
      </c>
      <c r="P294" s="440">
        <v>155.9</v>
      </c>
      <c r="Q294" s="439">
        <v>52.1</v>
      </c>
      <c r="R294" s="439">
        <v>60.8</v>
      </c>
      <c r="S294" s="439">
        <v>71.8</v>
      </c>
      <c r="T294" s="439">
        <f>U294-SUM(Q294,R294,S294)</f>
        <v>94</v>
      </c>
      <c r="U294" s="440">
        <v>278.7</v>
      </c>
      <c r="V294" s="439">
        <v>99.2</v>
      </c>
      <c r="W294" s="439">
        <v>111.9</v>
      </c>
      <c r="X294" s="439">
        <v>126.8</v>
      </c>
      <c r="Y294" s="439">
        <f>Z294-SUM(V294,W294,X294)</f>
        <v>139.39999999999998</v>
      </c>
      <c r="Z294" s="440">
        <v>477.3</v>
      </c>
      <c r="AA294" s="439">
        <v>160.1</v>
      </c>
      <c r="AB294" s="439">
        <v>176.6</v>
      </c>
      <c r="AC294" s="439">
        <v>197.5</v>
      </c>
      <c r="AD294" s="439">
        <f>AE294-SUM(AA294,AB294,AC294)</f>
        <v>235.09999999999991</v>
      </c>
      <c r="AE294" s="440">
        <v>769.3</v>
      </c>
      <c r="AF294" s="439">
        <v>245.2</v>
      </c>
      <c r="AG294" s="439">
        <v>251.8</v>
      </c>
      <c r="AH294" s="439">
        <v>300</v>
      </c>
      <c r="AI294" s="439">
        <f>AJ294-SUM(AF294,AG294,AH294)</f>
        <v>313</v>
      </c>
      <c r="AJ294" s="440">
        <v>1110</v>
      </c>
      <c r="AK294" s="439">
        <v>299.39999999999998</v>
      </c>
      <c r="AL294" s="439">
        <v>334.6</v>
      </c>
      <c r="AM294" s="439">
        <v>353</v>
      </c>
      <c r="AN294" s="439">
        <f>AO294-SUM(AK294,AL294,AM294)</f>
        <v>383</v>
      </c>
      <c r="AO294" s="440">
        <v>1370</v>
      </c>
      <c r="AP294" s="439">
        <v>371</v>
      </c>
      <c r="AQ294" s="36">
        <v>356</v>
      </c>
      <c r="AR294" s="36">
        <v>403</v>
      </c>
      <c r="AS294" s="439">
        <f>AT294-SUM(AP294,AQ294,AR294)</f>
        <v>440</v>
      </c>
      <c r="AT294" s="440">
        <v>1570</v>
      </c>
      <c r="AU294" s="439">
        <v>424</v>
      </c>
      <c r="AV294" s="36">
        <v>461</v>
      </c>
      <c r="AW294" s="726">
        <v>495</v>
      </c>
      <c r="AX294" s="592">
        <f>-AX693</f>
        <v>632.20635616438358</v>
      </c>
      <c r="AY294" s="593">
        <f>IF(OR(ISBLANK(AU294),ISBLANK(AV294),ISBLANK(AW294),ISBLANK(AX294)),"n/a",SUM(AU294,AV294,AW294,AX294))</f>
        <v>2012.2063561643836</v>
      </c>
      <c r="AZ294" s="592">
        <f>-AZ693</f>
        <v>632.79248507412262</v>
      </c>
      <c r="BA294" s="592">
        <f>-BA693</f>
        <v>665.13649394481615</v>
      </c>
      <c r="BB294" s="592">
        <f>-BB693</f>
        <v>696.8547250100122</v>
      </c>
      <c r="BC294" s="592">
        <f>-BC693</f>
        <v>720.10452766307083</v>
      </c>
      <c r="BD294" s="593">
        <f>IF(OR(ISBLANK(AZ294),ISBLANK(BA294),ISBLANK(BB294),ISBLANK(BC294)),"n/a",SUM(AZ294,BA294,BB294,BC294))</f>
        <v>2714.8882316920217</v>
      </c>
      <c r="BE294" s="593">
        <f>-BE693</f>
        <v>2945.8062847608203</v>
      </c>
      <c r="BF294" s="593">
        <f>-BF693</f>
        <v>3291.8043734705016</v>
      </c>
      <c r="BG294" s="593">
        <f>-BG693</f>
        <v>3587.6327393172787</v>
      </c>
      <c r="BH294" s="592"/>
    </row>
    <row r="295" spans="1:60" s="594" customFormat="1" hidden="1" outlineLevel="1" x14ac:dyDescent="0.25">
      <c r="A295" s="590" t="s">
        <v>546</v>
      </c>
      <c r="B295" s="610"/>
      <c r="C295" s="440"/>
      <c r="D295" s="440"/>
      <c r="E295" s="440"/>
      <c r="F295" s="440"/>
      <c r="G295" s="439"/>
      <c r="H295" s="439"/>
      <c r="I295" s="439"/>
      <c r="J295" s="439"/>
      <c r="K295" s="440"/>
      <c r="L295" s="439"/>
      <c r="M295" s="439"/>
      <c r="N295" s="439"/>
      <c r="O295" s="439"/>
      <c r="P295" s="440"/>
      <c r="Q295" s="439"/>
      <c r="R295" s="439"/>
      <c r="S295" s="439"/>
      <c r="T295" s="439"/>
      <c r="U295" s="440"/>
      <c r="V295" s="439"/>
      <c r="W295" s="439"/>
      <c r="X295" s="439"/>
      <c r="Y295" s="439"/>
      <c r="Z295" s="440"/>
      <c r="AA295" s="439"/>
      <c r="AB295" s="439"/>
      <c r="AC295" s="439"/>
      <c r="AD295" s="439"/>
      <c r="AE295" s="440">
        <v>40</v>
      </c>
      <c r="AF295" s="439"/>
      <c r="AG295" s="439"/>
      <c r="AH295" s="439"/>
      <c r="AI295" s="439"/>
      <c r="AJ295" s="440">
        <v>66</v>
      </c>
      <c r="AK295" s="439"/>
      <c r="AL295" s="439"/>
      <c r="AM295" s="439"/>
      <c r="AN295" s="439"/>
      <c r="AO295" s="440">
        <v>44</v>
      </c>
      <c r="AP295" s="439"/>
      <c r="AQ295" s="439"/>
      <c r="AR295" s="439"/>
      <c r="AS295" s="439"/>
      <c r="AT295" s="440">
        <v>51</v>
      </c>
      <c r="AU295" s="439"/>
      <c r="AV295" s="439"/>
      <c r="AW295" s="726"/>
      <c r="AX295" s="592">
        <f>-AX699</f>
        <v>11.865479452054794</v>
      </c>
      <c r="AY295" s="593" t="str">
        <f>IF(OR(ISBLANK(AU295),ISBLANK(AV295),ISBLANK(AW295),ISBLANK(AX295)),"n/a",SUM(AU295,AV295,AW295,AX295))</f>
        <v>n/a</v>
      </c>
      <c r="AZ295" s="592">
        <f>-AZ699</f>
        <v>11.095530681178458</v>
      </c>
      <c r="BA295" s="592">
        <f>-BA699</f>
        <v>10.734714831858247</v>
      </c>
      <c r="BB295" s="592">
        <f>-BB699</f>
        <v>10.379174871402814</v>
      </c>
      <c r="BC295" s="592">
        <f>-BC699</f>
        <v>9.9213537332395667</v>
      </c>
      <c r="BD295" s="593">
        <f>IF(OR(ISBLANK(AZ295),ISBLANK(BA295),ISBLANK(BB295),ISBLANK(BC295)),"n/a",SUM(AZ295,BA295,BB295,BC295))</f>
        <v>42.130774117679081</v>
      </c>
      <c r="BE295" s="593">
        <f>-BE699</f>
        <v>38.700674357447902</v>
      </c>
      <c r="BF295" s="593">
        <f>-BF699</f>
        <v>31.734552973107284</v>
      </c>
      <c r="BG295" s="593">
        <f>-BG699</f>
        <v>23.130963055953753</v>
      </c>
      <c r="BH295" s="592"/>
    </row>
    <row r="296" spans="1:60" s="594" customFormat="1" hidden="1" outlineLevel="1" x14ac:dyDescent="0.25">
      <c r="A296" s="590" t="s">
        <v>547</v>
      </c>
      <c r="B296" s="610"/>
      <c r="C296" s="440"/>
      <c r="D296" s="440"/>
      <c r="E296" s="440"/>
      <c r="F296" s="440"/>
      <c r="G296" s="439"/>
      <c r="H296" s="439"/>
      <c r="I296" s="439"/>
      <c r="J296" s="439"/>
      <c r="K296" s="440"/>
      <c r="L296" s="439"/>
      <c r="M296" s="439"/>
      <c r="N296" s="439"/>
      <c r="O296" s="439"/>
      <c r="P296" s="440"/>
      <c r="Q296" s="439"/>
      <c r="R296" s="439"/>
      <c r="S296" s="439"/>
      <c r="T296" s="439"/>
      <c r="U296" s="440"/>
      <c r="V296" s="439"/>
      <c r="W296" s="439"/>
      <c r="X296" s="439"/>
      <c r="Y296" s="439"/>
      <c r="Z296" s="440"/>
      <c r="AA296" s="439"/>
      <c r="AB296" s="439"/>
      <c r="AC296" s="439"/>
      <c r="AD296" s="439"/>
      <c r="AE296" s="440">
        <v>213</v>
      </c>
      <c r="AF296" s="439"/>
      <c r="AG296" s="439"/>
      <c r="AH296" s="439"/>
      <c r="AI296" s="439"/>
      <c r="AJ296" s="440">
        <v>276</v>
      </c>
      <c r="AK296" s="439"/>
      <c r="AL296" s="439"/>
      <c r="AM296" s="439"/>
      <c r="AN296" s="439"/>
      <c r="AO296" s="440">
        <v>227</v>
      </c>
      <c r="AP296" s="439"/>
      <c r="AQ296" s="439"/>
      <c r="AR296" s="439"/>
      <c r="AS296" s="439"/>
      <c r="AT296" s="440">
        <v>232</v>
      </c>
      <c r="AU296" s="439"/>
      <c r="AV296" s="439"/>
      <c r="AW296" s="726"/>
      <c r="AX296" s="1006">
        <v>57</v>
      </c>
      <c r="AY296" s="591" t="str">
        <f>IF(OR(ISBLANK(AU296),ISBLANK(AV296),ISBLANK(AW296),ISBLANK(AX296)),"n/a",SUM(AU296,AV296,AW296,AX296))</f>
        <v>n/a</v>
      </c>
      <c r="AZ296" s="1006">
        <v>57</v>
      </c>
      <c r="BA296" s="1006">
        <v>57</v>
      </c>
      <c r="BB296" s="1006">
        <v>57</v>
      </c>
      <c r="BC296" s="1006">
        <v>57</v>
      </c>
      <c r="BD296" s="591">
        <f>IF(OR(ISBLANK(AZ296),ISBLANK(BA296),ISBLANK(BB296),ISBLANK(BC296)),"n/a",SUM(AZ296,BA296,BB296,BC296))</f>
        <v>228</v>
      </c>
      <c r="BE296" s="1007">
        <v>228</v>
      </c>
      <c r="BF296" s="1007">
        <v>228</v>
      </c>
      <c r="BG296" s="1007">
        <v>228</v>
      </c>
      <c r="BH296" s="592"/>
    </row>
    <row r="297" spans="1:60" s="594" customFormat="1" hidden="1" outlineLevel="1" x14ac:dyDescent="0.25">
      <c r="A297" s="590" t="s">
        <v>548</v>
      </c>
      <c r="B297" s="610"/>
      <c r="C297" s="440"/>
      <c r="D297" s="440"/>
      <c r="E297" s="440"/>
      <c r="F297" s="440"/>
      <c r="G297" s="439"/>
      <c r="H297" s="439"/>
      <c r="I297" s="439"/>
      <c r="J297" s="439"/>
      <c r="K297" s="440"/>
      <c r="L297" s="439"/>
      <c r="M297" s="439"/>
      <c r="N297" s="439"/>
      <c r="O297" s="439"/>
      <c r="P297" s="440"/>
      <c r="Q297" s="439"/>
      <c r="R297" s="439"/>
      <c r="S297" s="439"/>
      <c r="T297" s="439"/>
      <c r="U297" s="440"/>
      <c r="V297" s="439"/>
      <c r="W297" s="439"/>
      <c r="X297" s="439"/>
      <c r="Y297" s="439"/>
      <c r="Z297" s="440"/>
      <c r="AA297" s="439"/>
      <c r="AB297" s="439"/>
      <c r="AC297" s="439"/>
      <c r="AD297" s="439"/>
      <c r="AE297" s="440">
        <f>AE298-AE296-AE295-AE294</f>
        <v>613.70299999999997</v>
      </c>
      <c r="AF297" s="439"/>
      <c r="AG297" s="439"/>
      <c r="AH297" s="439"/>
      <c r="AI297" s="439"/>
      <c r="AJ297" s="440">
        <f>AJ298-AJ296-AJ295-AJ294</f>
        <v>449.04999999999995</v>
      </c>
      <c r="AK297" s="439"/>
      <c r="AL297" s="439"/>
      <c r="AM297" s="439"/>
      <c r="AN297" s="439"/>
      <c r="AO297" s="440">
        <f>AO298-AO296-AO295-AO294</f>
        <v>513</v>
      </c>
      <c r="AP297" s="439"/>
      <c r="AQ297" s="439"/>
      <c r="AR297" s="439"/>
      <c r="AS297" s="439"/>
      <c r="AT297" s="440">
        <f>AT298-AT296-AT295-AT294</f>
        <v>469</v>
      </c>
      <c r="AU297" s="439"/>
      <c r="AV297" s="439"/>
      <c r="AW297" s="726"/>
      <c r="AX297" s="1006">
        <v>150</v>
      </c>
      <c r="AY297" s="591" t="str">
        <f>IF(OR(ISBLANK(AU297),ISBLANK(AV297),ISBLANK(AW297),ISBLANK(AX297)),"n/a",SUM(AU297,AV297,AW297,AX297))</f>
        <v>n/a</v>
      </c>
      <c r="AZ297" s="1006">
        <v>150</v>
      </c>
      <c r="BA297" s="1006">
        <v>150</v>
      </c>
      <c r="BB297" s="1006">
        <v>150</v>
      </c>
      <c r="BC297" s="1006">
        <v>150</v>
      </c>
      <c r="BD297" s="591">
        <f>IF(OR(ISBLANK(AZ297),ISBLANK(BA297),ISBLANK(BB297),ISBLANK(BC297)),"n/a",SUM(AZ297,BA297,BB297,BC297))</f>
        <v>600</v>
      </c>
      <c r="BE297" s="1007">
        <v>600</v>
      </c>
      <c r="BF297" s="1007">
        <v>600</v>
      </c>
      <c r="BG297" s="1007">
        <v>600</v>
      </c>
      <c r="BH297" s="592"/>
    </row>
    <row r="298" spans="1:60" s="596" customFormat="1" hidden="1" outlineLevel="1" x14ac:dyDescent="0.25">
      <c r="A298" s="86" t="s">
        <v>673</v>
      </c>
      <c r="B298" s="529"/>
      <c r="C298" s="29">
        <f t="shared" ref="C298:AW298" si="250">C585</f>
        <v>6.94</v>
      </c>
      <c r="D298" s="29">
        <f t="shared" si="250"/>
        <v>10.622999999999999</v>
      </c>
      <c r="E298" s="29">
        <f t="shared" si="250"/>
        <v>16.919</v>
      </c>
      <c r="F298" s="29">
        <f t="shared" si="250"/>
        <v>28.824999999999999</v>
      </c>
      <c r="G298" s="30">
        <f t="shared" si="250"/>
        <v>17.850000000000001</v>
      </c>
      <c r="H298" s="30">
        <f t="shared" si="250"/>
        <v>22.198</v>
      </c>
      <c r="I298" s="30">
        <f t="shared" si="250"/>
        <v>28.450000000000003</v>
      </c>
      <c r="J298" s="30">
        <f t="shared" si="250"/>
        <v>37.584999999999994</v>
      </c>
      <c r="K298" s="29">
        <f t="shared" si="250"/>
        <v>106.083</v>
      </c>
      <c r="L298" s="30">
        <f t="shared" si="250"/>
        <v>44.268000000000001</v>
      </c>
      <c r="M298" s="30">
        <f t="shared" si="250"/>
        <v>54.715000000000003</v>
      </c>
      <c r="N298" s="30">
        <f t="shared" si="250"/>
        <v>64.972000000000008</v>
      </c>
      <c r="O298" s="30">
        <f t="shared" si="250"/>
        <v>67.975999999999999</v>
      </c>
      <c r="P298" s="29">
        <f t="shared" si="250"/>
        <v>231.93100000000001</v>
      </c>
      <c r="Q298" s="30">
        <f t="shared" si="250"/>
        <v>77.111999999999995</v>
      </c>
      <c r="R298" s="30">
        <f t="shared" si="250"/>
        <v>91.38900000000001</v>
      </c>
      <c r="S298" s="30">
        <f t="shared" si="250"/>
        <v>110.36600000000001</v>
      </c>
      <c r="T298" s="30">
        <f t="shared" si="250"/>
        <v>143.72299999999996</v>
      </c>
      <c r="U298" s="29">
        <f t="shared" si="250"/>
        <v>422.59</v>
      </c>
      <c r="V298" s="30">
        <f t="shared" si="250"/>
        <v>156.46</v>
      </c>
      <c r="W298" s="31">
        <f t="shared" si="250"/>
        <v>183.232</v>
      </c>
      <c r="X298" s="31">
        <f t="shared" si="250"/>
        <v>280.46799999999996</v>
      </c>
      <c r="Y298" s="30">
        <f t="shared" si="250"/>
        <v>326.93900000000008</v>
      </c>
      <c r="Z298" s="29">
        <f t="shared" si="250"/>
        <v>947.09900000000005</v>
      </c>
      <c r="AA298" s="30">
        <f t="shared" si="250"/>
        <v>376.60199999999998</v>
      </c>
      <c r="AB298" s="31">
        <f t="shared" si="250"/>
        <v>389.17100000000005</v>
      </c>
      <c r="AC298" s="31">
        <f t="shared" si="250"/>
        <v>400.62399999999991</v>
      </c>
      <c r="AD298" s="30">
        <f t="shared" si="250"/>
        <v>469.60599999999999</v>
      </c>
      <c r="AE298" s="29">
        <f t="shared" si="250"/>
        <v>1636.0029999999999</v>
      </c>
      <c r="AF298" s="30">
        <f t="shared" si="250"/>
        <v>416.233</v>
      </c>
      <c r="AG298" s="31">
        <f t="shared" si="250"/>
        <v>485.25500000000005</v>
      </c>
      <c r="AH298" s="31">
        <f t="shared" si="250"/>
        <v>502.82500000000005</v>
      </c>
      <c r="AI298" s="30">
        <f t="shared" si="250"/>
        <v>496.73699999999985</v>
      </c>
      <c r="AJ298" s="29">
        <f t="shared" si="250"/>
        <v>1901.05</v>
      </c>
      <c r="AK298" s="30">
        <f t="shared" si="250"/>
        <v>467.577</v>
      </c>
      <c r="AL298" s="31">
        <f t="shared" si="250"/>
        <v>578.57199999999989</v>
      </c>
      <c r="AM298" s="31">
        <f t="shared" si="250"/>
        <v>530.85100000000011</v>
      </c>
      <c r="AN298" s="30">
        <f t="shared" si="250"/>
        <v>577</v>
      </c>
      <c r="AO298" s="29">
        <f t="shared" si="250"/>
        <v>2154</v>
      </c>
      <c r="AP298" s="30">
        <f t="shared" si="250"/>
        <v>553</v>
      </c>
      <c r="AQ298" s="31">
        <f t="shared" si="250"/>
        <v>567</v>
      </c>
      <c r="AR298" s="31">
        <f t="shared" si="250"/>
        <v>584</v>
      </c>
      <c r="AS298" s="30">
        <f t="shared" si="250"/>
        <v>618</v>
      </c>
      <c r="AT298" s="29">
        <f t="shared" si="250"/>
        <v>2322</v>
      </c>
      <c r="AU298" s="30">
        <f t="shared" si="250"/>
        <v>621</v>
      </c>
      <c r="AV298" s="31">
        <f t="shared" si="250"/>
        <v>681</v>
      </c>
      <c r="AW298" s="795">
        <f t="shared" si="250"/>
        <v>761</v>
      </c>
      <c r="AX298" s="30">
        <f>SUM(AX294:AX297)</f>
        <v>851.07183561643842</v>
      </c>
      <c r="AY298" s="29">
        <f>SUM(AU298,AV298,AW298,AX298)</f>
        <v>2914.0718356164384</v>
      </c>
      <c r="AZ298" s="30">
        <f>SUM(AZ294:AZ297)</f>
        <v>850.88801575530113</v>
      </c>
      <c r="BA298" s="30">
        <f>SUM(BA294:BA297)</f>
        <v>882.87120877667439</v>
      </c>
      <c r="BB298" s="30">
        <f>SUM(BB294:BB297)</f>
        <v>914.23389988141503</v>
      </c>
      <c r="BC298" s="30">
        <f>SUM(BC294:BC297)</f>
        <v>937.02588139631041</v>
      </c>
      <c r="BD298" s="29">
        <f>SUM(AZ298,BA298,BB298,BC298)</f>
        <v>3585.019005809701</v>
      </c>
      <c r="BE298" s="29">
        <f>SUM(BE294:BE297)</f>
        <v>3812.5069591182682</v>
      </c>
      <c r="BF298" s="29">
        <f>SUM(BF294:BF297)</f>
        <v>4151.5389264436089</v>
      </c>
      <c r="BG298" s="29">
        <f>SUM(BG294:BG297)</f>
        <v>4438.7637023732323</v>
      </c>
      <c r="BH298" s="595"/>
    </row>
    <row r="299" spans="1:60" s="112" customFormat="1" collapsed="1" x14ac:dyDescent="0.25">
      <c r="A299" s="216"/>
      <c r="B299" s="507"/>
      <c r="C299" s="252"/>
      <c r="D299" s="252"/>
      <c r="E299" s="252"/>
      <c r="F299" s="252"/>
      <c r="G299" s="370"/>
      <c r="H299" s="370"/>
      <c r="I299" s="370"/>
      <c r="J299" s="370"/>
      <c r="K299" s="252"/>
      <c r="L299" s="370"/>
      <c r="M299" s="370"/>
      <c r="N299" s="370"/>
      <c r="O299" s="370"/>
      <c r="P299" s="252"/>
      <c r="Q299" s="370"/>
      <c r="R299" s="370"/>
      <c r="S299" s="370"/>
      <c r="T299" s="370"/>
      <c r="U299" s="252"/>
      <c r="V299" s="370"/>
      <c r="W299" s="370"/>
      <c r="X299" s="370"/>
      <c r="Y299" s="370"/>
      <c r="Z299" s="100"/>
      <c r="AA299" s="1005"/>
      <c r="AB299" s="1005"/>
      <c r="AC299" s="1005"/>
      <c r="AD299" s="1005"/>
      <c r="AE299" s="100"/>
      <c r="AF299" s="1005"/>
      <c r="AG299" s="1005"/>
      <c r="AH299" s="1005"/>
      <c r="AI299" s="1005"/>
      <c r="AJ299" s="100"/>
      <c r="AK299" s="1005"/>
      <c r="AL299" s="1005"/>
      <c r="AM299" s="1005"/>
      <c r="AN299" s="1005"/>
      <c r="AO299" s="100"/>
      <c r="AP299" s="1005"/>
      <c r="AQ299" s="1005"/>
      <c r="AR299" s="1005"/>
      <c r="AS299" s="1005"/>
      <c r="AT299" s="100"/>
      <c r="AU299" s="1005"/>
      <c r="AV299" s="1005"/>
      <c r="AW299" s="727"/>
      <c r="AX299" s="1005"/>
      <c r="AY299" s="100"/>
      <c r="AZ299" s="1005"/>
      <c r="BA299" s="1005"/>
      <c r="BB299" s="1005"/>
      <c r="BC299" s="1005"/>
      <c r="BD299" s="100"/>
      <c r="BE299" s="100"/>
      <c r="BF299" s="100"/>
      <c r="BG299" s="100"/>
      <c r="BH299" s="1034"/>
    </row>
    <row r="300" spans="1:60" s="112" customFormat="1" x14ac:dyDescent="0.25">
      <c r="A300" s="1020" t="s">
        <v>539</v>
      </c>
      <c r="B300" s="1020"/>
      <c r="C300" s="1043"/>
      <c r="D300" s="1043"/>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3"/>
      <c r="AE300" s="1043"/>
      <c r="AF300" s="1043"/>
      <c r="AG300" s="1043"/>
      <c r="AH300" s="1043"/>
      <c r="AI300" s="1043"/>
      <c r="AJ300" s="1043"/>
      <c r="AK300" s="1043"/>
      <c r="AL300" s="1043"/>
      <c r="AM300" s="1043"/>
      <c r="AN300" s="1043"/>
      <c r="AO300" s="1043"/>
      <c r="AP300" s="1043"/>
      <c r="AQ300" s="1043"/>
      <c r="AR300" s="1043"/>
      <c r="AS300" s="1043"/>
      <c r="AT300" s="1043"/>
      <c r="AU300" s="1043"/>
      <c r="AV300" s="1043"/>
      <c r="AW300" s="1044"/>
      <c r="AX300" s="1043"/>
      <c r="AY300" s="1043"/>
      <c r="AZ300" s="1043"/>
      <c r="BA300" s="1043"/>
      <c r="BB300" s="1043"/>
      <c r="BC300" s="1043"/>
      <c r="BD300" s="1043"/>
      <c r="BE300" s="1043"/>
      <c r="BF300" s="1043"/>
      <c r="BG300" s="1043"/>
      <c r="BH300" s="1034"/>
    </row>
    <row r="301" spans="1:60" s="356" customFormat="1" hidden="1" outlineLevel="1" x14ac:dyDescent="0.25">
      <c r="A301" s="893" t="s">
        <v>527</v>
      </c>
      <c r="B301" s="450"/>
      <c r="C301" s="440"/>
      <c r="D301" s="440"/>
      <c r="E301" s="440"/>
      <c r="F301" s="440"/>
      <c r="G301" s="439"/>
      <c r="H301" s="439"/>
      <c r="I301" s="439"/>
      <c r="J301" s="439"/>
      <c r="K301" s="440"/>
      <c r="L301" s="439"/>
      <c r="M301" s="439"/>
      <c r="N301" s="439"/>
      <c r="O301" s="439"/>
      <c r="P301" s="440"/>
      <c r="Q301" s="439"/>
      <c r="R301" s="439"/>
      <c r="S301" s="439"/>
      <c r="T301" s="439"/>
      <c r="U301" s="440"/>
      <c r="V301" s="439"/>
      <c r="W301" s="439"/>
      <c r="X301" s="439"/>
      <c r="Y301" s="439"/>
      <c r="Z301" s="440"/>
      <c r="AA301" s="439"/>
      <c r="AB301" s="439"/>
      <c r="AC301" s="439"/>
      <c r="AD301" s="439"/>
      <c r="AE301" s="440"/>
      <c r="AF301" s="439">
        <v>378</v>
      </c>
      <c r="AG301" s="439">
        <v>346</v>
      </c>
      <c r="AH301" s="439">
        <v>351</v>
      </c>
      <c r="AI301" s="439">
        <v>378</v>
      </c>
      <c r="AJ301" s="440">
        <f>AI301</f>
        <v>378</v>
      </c>
      <c r="AK301" s="439">
        <v>377</v>
      </c>
      <c r="AL301" s="439">
        <v>402</v>
      </c>
      <c r="AM301" s="439">
        <v>413</v>
      </c>
      <c r="AN301" s="439">
        <v>429</v>
      </c>
      <c r="AO301" s="440">
        <f>AN301</f>
        <v>429</v>
      </c>
      <c r="AP301" s="439">
        <v>434</v>
      </c>
      <c r="AQ301" s="439">
        <v>446</v>
      </c>
      <c r="AR301" s="439">
        <v>466</v>
      </c>
      <c r="AS301" s="439">
        <v>523</v>
      </c>
      <c r="AT301" s="440">
        <f>AS301</f>
        <v>523</v>
      </c>
      <c r="AU301" s="439">
        <v>561</v>
      </c>
      <c r="AV301" s="439">
        <v>598</v>
      </c>
      <c r="AW301" s="726">
        <v>630</v>
      </c>
      <c r="AX301" s="439"/>
      <c r="AY301" s="440"/>
      <c r="AZ301" s="439"/>
      <c r="BA301" s="439"/>
      <c r="BB301" s="439"/>
      <c r="BC301" s="439"/>
      <c r="BD301" s="440"/>
      <c r="BE301" s="440"/>
      <c r="BF301" s="440"/>
      <c r="BG301" s="440"/>
      <c r="BH301" s="361"/>
    </row>
    <row r="302" spans="1:60" s="356" customFormat="1" hidden="1" outlineLevel="1" x14ac:dyDescent="0.25">
      <c r="A302" s="893" t="s">
        <v>528</v>
      </c>
      <c r="B302" s="450"/>
      <c r="C302" s="440"/>
      <c r="D302" s="440"/>
      <c r="E302" s="440"/>
      <c r="F302" s="440"/>
      <c r="G302" s="439"/>
      <c r="H302" s="439"/>
      <c r="I302" s="439"/>
      <c r="J302" s="439"/>
      <c r="K302" s="440"/>
      <c r="L302" s="439"/>
      <c r="M302" s="439"/>
      <c r="N302" s="439"/>
      <c r="O302" s="439"/>
      <c r="P302" s="440"/>
      <c r="Q302" s="439"/>
      <c r="R302" s="439"/>
      <c r="S302" s="439"/>
      <c r="T302" s="439"/>
      <c r="U302" s="440"/>
      <c r="V302" s="439"/>
      <c r="W302" s="439"/>
      <c r="X302" s="439"/>
      <c r="Y302" s="439"/>
      <c r="Z302" s="440"/>
      <c r="AA302" s="439"/>
      <c r="AB302" s="439"/>
      <c r="AC302" s="439"/>
      <c r="AD302" s="439"/>
      <c r="AE302" s="440"/>
      <c r="AF302" s="439">
        <v>411</v>
      </c>
      <c r="AG302" s="439">
        <v>340</v>
      </c>
      <c r="AH302" s="439">
        <v>373</v>
      </c>
      <c r="AI302" s="439">
        <v>411</v>
      </c>
      <c r="AJ302" s="440">
        <f>AI302</f>
        <v>411</v>
      </c>
      <c r="AK302" s="439">
        <v>550</v>
      </c>
      <c r="AL302" s="439">
        <v>651</v>
      </c>
      <c r="AM302" s="439">
        <v>719</v>
      </c>
      <c r="AN302" s="439">
        <v>743</v>
      </c>
      <c r="AO302" s="440">
        <f>AN302</f>
        <v>743</v>
      </c>
      <c r="AP302" s="439">
        <v>756</v>
      </c>
      <c r="AQ302" s="439">
        <v>816</v>
      </c>
      <c r="AR302" s="439">
        <v>833</v>
      </c>
      <c r="AS302" s="439">
        <v>894</v>
      </c>
      <c r="AT302" s="440">
        <v>894</v>
      </c>
      <c r="AU302" s="439">
        <v>1013</v>
      </c>
      <c r="AV302" s="439">
        <v>1091</v>
      </c>
      <c r="AW302" s="726">
        <v>1190</v>
      </c>
      <c r="AX302" s="439"/>
      <c r="AY302" s="440"/>
      <c r="AZ302" s="439"/>
      <c r="BA302" s="439"/>
      <c r="BB302" s="439"/>
      <c r="BC302" s="439"/>
      <c r="BD302" s="440"/>
      <c r="BE302" s="440"/>
      <c r="BF302" s="440"/>
      <c r="BG302" s="440"/>
      <c r="BH302" s="361"/>
    </row>
    <row r="303" spans="1:60" s="356" customFormat="1" hidden="1" outlineLevel="1" x14ac:dyDescent="0.25">
      <c r="A303" s="893"/>
      <c r="B303" s="450"/>
      <c r="C303" s="440"/>
      <c r="D303" s="440"/>
      <c r="E303" s="440"/>
      <c r="F303" s="440"/>
      <c r="G303" s="439"/>
      <c r="H303" s="439"/>
      <c r="I303" s="439"/>
      <c r="J303" s="439"/>
      <c r="K303" s="440"/>
      <c r="L303" s="439"/>
      <c r="M303" s="439"/>
      <c r="N303" s="439"/>
      <c r="O303" s="439"/>
      <c r="P303" s="440"/>
      <c r="Q303" s="439"/>
      <c r="R303" s="439"/>
      <c r="S303" s="439"/>
      <c r="T303" s="439"/>
      <c r="U303" s="440"/>
      <c r="V303" s="439"/>
      <c r="W303" s="439"/>
      <c r="X303" s="439"/>
      <c r="Y303" s="439"/>
      <c r="Z303" s="440"/>
      <c r="AA303" s="439"/>
      <c r="AB303" s="439"/>
      <c r="AC303" s="439"/>
      <c r="AD303" s="439"/>
      <c r="AE303" s="440"/>
      <c r="AF303" s="439"/>
      <c r="AG303" s="439"/>
      <c r="AH303" s="439"/>
      <c r="AI303" s="439"/>
      <c r="AJ303" s="440"/>
      <c r="AK303" s="439"/>
      <c r="AL303" s="439"/>
      <c r="AM303" s="439"/>
      <c r="AN303" s="439"/>
      <c r="AO303" s="440"/>
      <c r="AP303" s="439"/>
      <c r="AQ303" s="439"/>
      <c r="AR303" s="439"/>
      <c r="AS303" s="439"/>
      <c r="AT303" s="440"/>
      <c r="AU303" s="439"/>
      <c r="AV303" s="439"/>
      <c r="AW303" s="726"/>
      <c r="AX303" s="439"/>
      <c r="AY303" s="440"/>
      <c r="AZ303" s="439"/>
      <c r="BA303" s="439"/>
      <c r="BB303" s="439"/>
      <c r="BC303" s="439"/>
      <c r="BD303" s="440"/>
      <c r="BE303" s="440"/>
      <c r="BF303" s="440"/>
      <c r="BG303" s="440"/>
      <c r="BH303" s="361"/>
    </row>
    <row r="304" spans="1:60" s="356" customFormat="1" hidden="1" outlineLevel="1" x14ac:dyDescent="0.25">
      <c r="A304" s="893" t="s">
        <v>463</v>
      </c>
      <c r="B304" s="450"/>
      <c r="C304" s="440"/>
      <c r="D304" s="440"/>
      <c r="E304" s="440"/>
      <c r="F304" s="440"/>
      <c r="G304" s="439"/>
      <c r="H304" s="439"/>
      <c r="I304" s="439"/>
      <c r="J304" s="439"/>
      <c r="K304" s="440"/>
      <c r="L304" s="439"/>
      <c r="M304" s="439"/>
      <c r="N304" s="439"/>
      <c r="O304" s="439"/>
      <c r="P304" s="440"/>
      <c r="Q304" s="439"/>
      <c r="R304" s="439"/>
      <c r="S304" s="439"/>
      <c r="T304" s="439"/>
      <c r="U304" s="440"/>
      <c r="V304" s="439"/>
      <c r="W304" s="439"/>
      <c r="X304" s="439"/>
      <c r="Y304" s="439"/>
      <c r="Z304" s="440"/>
      <c r="AA304" s="439"/>
      <c r="AB304" s="439"/>
      <c r="AC304" s="439"/>
      <c r="AD304" s="439"/>
      <c r="AE304" s="440"/>
      <c r="AF304" s="439">
        <v>1205</v>
      </c>
      <c r="AG304" s="439">
        <v>1308</v>
      </c>
      <c r="AH304" s="439">
        <v>1352</v>
      </c>
      <c r="AI304" s="439">
        <f>AJ304</f>
        <v>1421</v>
      </c>
      <c r="AJ304" s="440">
        <v>1421</v>
      </c>
      <c r="AK304" s="439">
        <v>1490</v>
      </c>
      <c r="AL304" s="439">
        <v>1587</v>
      </c>
      <c r="AM304" s="439">
        <v>1653</v>
      </c>
      <c r="AN304" s="439">
        <f>AO304</f>
        <v>1821</v>
      </c>
      <c r="AO304" s="440">
        <v>1821</v>
      </c>
      <c r="AP304" s="439">
        <v>1917</v>
      </c>
      <c r="AQ304" s="439">
        <v>2035</v>
      </c>
      <c r="AR304" s="439">
        <v>2181</v>
      </c>
      <c r="AS304" s="439">
        <f>AT304</f>
        <v>2564</v>
      </c>
      <c r="AT304" s="440">
        <v>2564</v>
      </c>
      <c r="AU304" s="439">
        <v>2699</v>
      </c>
      <c r="AV304" s="439">
        <v>2966</v>
      </c>
      <c r="AW304" s="726">
        <v>3254</v>
      </c>
      <c r="AX304" s="439"/>
      <c r="AY304" s="440"/>
      <c r="AZ304" s="439"/>
      <c r="BA304" s="439"/>
      <c r="BB304" s="439"/>
      <c r="BC304" s="439"/>
      <c r="BD304" s="440"/>
      <c r="BE304" s="440"/>
      <c r="BF304" s="440"/>
      <c r="BG304" s="440"/>
      <c r="BH304" s="361"/>
    </row>
    <row r="305" spans="1:60" s="356" customFormat="1" hidden="1" outlineLevel="1" x14ac:dyDescent="0.25">
      <c r="A305" s="893" t="s">
        <v>464</v>
      </c>
      <c r="B305" s="450"/>
      <c r="C305" s="440"/>
      <c r="D305" s="440"/>
      <c r="E305" s="440"/>
      <c r="F305" s="440"/>
      <c r="G305" s="439"/>
      <c r="H305" s="439"/>
      <c r="I305" s="439"/>
      <c r="J305" s="439"/>
      <c r="K305" s="440"/>
      <c r="L305" s="439"/>
      <c r="M305" s="439"/>
      <c r="N305" s="439"/>
      <c r="O305" s="439"/>
      <c r="P305" s="440"/>
      <c r="Q305" s="439"/>
      <c r="R305" s="439"/>
      <c r="S305" s="439"/>
      <c r="T305" s="439"/>
      <c r="U305" s="440"/>
      <c r="V305" s="439"/>
      <c r="W305" s="439"/>
      <c r="X305" s="439"/>
      <c r="Y305" s="439"/>
      <c r="Z305" s="440"/>
      <c r="AA305" s="439"/>
      <c r="AB305" s="439"/>
      <c r="AC305" s="439"/>
      <c r="AD305" s="439"/>
      <c r="AE305" s="440"/>
      <c r="AF305" s="439">
        <v>9372</v>
      </c>
      <c r="AG305" s="439">
        <v>10622</v>
      </c>
      <c r="AH305" s="439">
        <v>11128</v>
      </c>
      <c r="AI305" s="439">
        <f>AJ305</f>
        <v>12002</v>
      </c>
      <c r="AJ305" s="440">
        <v>12002</v>
      </c>
      <c r="AK305" s="439">
        <v>12767</v>
      </c>
      <c r="AL305" s="439">
        <v>13881</v>
      </c>
      <c r="AM305" s="439">
        <v>14658</v>
      </c>
      <c r="AN305" s="439">
        <f>AO305</f>
        <v>16104</v>
      </c>
      <c r="AO305" s="440">
        <v>16104</v>
      </c>
      <c r="AP305" s="439">
        <v>17007</v>
      </c>
      <c r="AQ305" s="439">
        <v>18100</v>
      </c>
      <c r="AR305" s="439">
        <v>19437</v>
      </c>
      <c r="AS305" s="439">
        <f>AT305</f>
        <v>23277</v>
      </c>
      <c r="AT305" s="440">
        <v>23277</v>
      </c>
      <c r="AU305" s="439">
        <v>24515</v>
      </c>
      <c r="AV305" s="439">
        <v>26900</v>
      </c>
      <c r="AW305" s="726">
        <v>29281</v>
      </c>
      <c r="AX305" s="439"/>
      <c r="AY305" s="440"/>
      <c r="AZ305" s="439"/>
      <c r="BA305" s="439"/>
      <c r="BB305" s="439"/>
      <c r="BC305" s="439"/>
      <c r="BD305" s="440"/>
      <c r="BE305" s="440"/>
      <c r="BF305" s="440"/>
      <c r="BG305" s="440"/>
      <c r="BH305" s="361"/>
    </row>
    <row r="306" spans="1:60" s="356" customFormat="1" hidden="1" outlineLevel="1" x14ac:dyDescent="0.25">
      <c r="A306" s="893" t="s">
        <v>465</v>
      </c>
      <c r="B306" s="450"/>
      <c r="C306" s="440"/>
      <c r="D306" s="440"/>
      <c r="E306" s="440"/>
      <c r="F306" s="440"/>
      <c r="G306" s="439"/>
      <c r="H306" s="439"/>
      <c r="I306" s="439"/>
      <c r="J306" s="439"/>
      <c r="K306" s="440"/>
      <c r="L306" s="439"/>
      <c r="M306" s="439"/>
      <c r="N306" s="439"/>
      <c r="O306" s="439"/>
      <c r="P306" s="440"/>
      <c r="Q306" s="439"/>
      <c r="R306" s="439"/>
      <c r="S306" s="439"/>
      <c r="T306" s="439"/>
      <c r="U306" s="440"/>
      <c r="V306" s="439"/>
      <c r="W306" s="439"/>
      <c r="X306" s="439"/>
      <c r="Y306" s="439"/>
      <c r="Z306" s="440"/>
      <c r="AA306" s="439"/>
      <c r="AB306" s="439"/>
      <c r="AC306" s="439"/>
      <c r="AD306" s="439"/>
      <c r="AE306" s="440"/>
      <c r="AF306" s="439">
        <v>16941</v>
      </c>
      <c r="AG306" s="439">
        <v>19203</v>
      </c>
      <c r="AH306" s="439">
        <v>20652</v>
      </c>
      <c r="AI306" s="439">
        <f>AJ306</f>
        <v>24541</v>
      </c>
      <c r="AJ306" s="440">
        <v>24541</v>
      </c>
      <c r="AK306" s="439">
        <v>22399</v>
      </c>
      <c r="AL306" s="439">
        <v>23160</v>
      </c>
      <c r="AM306" s="439">
        <v>23906</v>
      </c>
      <c r="AN306" s="439"/>
      <c r="AO306" s="440"/>
      <c r="AP306" s="439"/>
      <c r="AQ306" s="439"/>
      <c r="AR306" s="439"/>
      <c r="AS306" s="439"/>
      <c r="AT306" s="440"/>
      <c r="AU306" s="439"/>
      <c r="AV306" s="439"/>
      <c r="AW306" s="726"/>
      <c r="AX306" s="439"/>
      <c r="AY306" s="440"/>
      <c r="AZ306" s="439"/>
      <c r="BA306" s="439"/>
      <c r="BB306" s="439"/>
      <c r="BC306" s="439"/>
      <c r="BD306" s="440"/>
      <c r="BE306" s="440"/>
      <c r="BF306" s="440"/>
      <c r="BG306" s="440"/>
      <c r="BH306" s="361"/>
    </row>
    <row r="307" spans="1:60" s="120" customFormat="1" collapsed="1" x14ac:dyDescent="0.25">
      <c r="A307" s="216"/>
      <c r="B307" s="215"/>
      <c r="C307" s="440"/>
      <c r="D307" s="440"/>
      <c r="E307" s="440"/>
      <c r="F307" s="440"/>
      <c r="G307" s="439"/>
      <c r="H307" s="439"/>
      <c r="I307" s="439"/>
      <c r="J307" s="439"/>
      <c r="K307" s="440"/>
      <c r="L307" s="439"/>
      <c r="M307" s="439"/>
      <c r="N307" s="439"/>
      <c r="O307" s="439"/>
      <c r="P307" s="440"/>
      <c r="Q307" s="439"/>
      <c r="R307" s="439"/>
      <c r="S307" s="439"/>
      <c r="T307" s="439"/>
      <c r="U307" s="440"/>
      <c r="V307" s="439"/>
      <c r="W307" s="439"/>
      <c r="X307" s="439"/>
      <c r="Y307" s="439"/>
      <c r="Z307" s="440"/>
      <c r="AA307" s="439"/>
      <c r="AB307" s="439"/>
      <c r="AC307" s="439"/>
      <c r="AD307" s="439"/>
      <c r="AE307" s="440"/>
      <c r="AF307" s="439"/>
      <c r="AG307" s="439"/>
      <c r="AH307" s="439"/>
      <c r="AI307" s="439"/>
      <c r="AJ307" s="440"/>
      <c r="AK307" s="439"/>
      <c r="AL307" s="439"/>
      <c r="AM307" s="439"/>
      <c r="AN307" s="439"/>
      <c r="AO307" s="440"/>
      <c r="AP307" s="439"/>
      <c r="AQ307" s="439"/>
      <c r="AR307" s="439"/>
      <c r="AS307" s="439"/>
      <c r="AT307" s="440"/>
      <c r="AU307" s="439"/>
      <c r="AV307" s="439"/>
      <c r="AW307" s="726"/>
      <c r="AX307" s="439"/>
      <c r="AY307" s="440"/>
      <c r="AZ307" s="439"/>
      <c r="BA307" s="439"/>
      <c r="BB307" s="439"/>
      <c r="BC307" s="439"/>
      <c r="BD307" s="440"/>
      <c r="BE307" s="440"/>
      <c r="BF307" s="440"/>
      <c r="BG307" s="440"/>
      <c r="BH307" s="366"/>
    </row>
    <row r="308" spans="1:60" s="114" customFormat="1" x14ac:dyDescent="0.25">
      <c r="A308" s="161" t="s">
        <v>76</v>
      </c>
      <c r="B308" s="161"/>
      <c r="C308" s="161"/>
      <c r="D308" s="161"/>
      <c r="E308" s="161"/>
      <c r="F308" s="161"/>
      <c r="G308" s="161"/>
      <c r="H308" s="161"/>
      <c r="I308" s="161"/>
      <c r="J308" s="161"/>
      <c r="K308" s="161"/>
      <c r="L308" s="161"/>
      <c r="M308" s="161"/>
      <c r="N308" s="161"/>
      <c r="O308" s="161"/>
      <c r="P308" s="161"/>
      <c r="Q308" s="161"/>
      <c r="R308" s="161"/>
      <c r="S308" s="161"/>
      <c r="T308" s="161"/>
      <c r="U308" s="161"/>
      <c r="V308" s="161"/>
      <c r="W308" s="161"/>
      <c r="X308" s="161"/>
      <c r="Y308" s="161"/>
      <c r="Z308" s="161"/>
      <c r="AA308" s="161"/>
      <c r="AB308" s="161"/>
      <c r="AC308" s="161"/>
      <c r="AD308" s="161"/>
      <c r="AE308" s="161"/>
      <c r="AF308" s="161"/>
      <c r="AG308" s="161"/>
      <c r="AH308" s="161"/>
      <c r="AI308" s="161"/>
      <c r="AJ308" s="161"/>
      <c r="AK308" s="161"/>
      <c r="AL308" s="161"/>
      <c r="AM308" s="161"/>
      <c r="AN308" s="161"/>
      <c r="AO308" s="161"/>
      <c r="AP308" s="161"/>
      <c r="AQ308" s="161"/>
      <c r="AR308" s="161"/>
      <c r="AS308" s="161"/>
      <c r="AT308" s="161"/>
      <c r="AU308" s="161"/>
      <c r="AV308" s="161"/>
      <c r="AW308" s="721"/>
      <c r="AX308" s="161"/>
      <c r="AY308" s="161"/>
      <c r="AZ308" s="161"/>
      <c r="BA308" s="161"/>
      <c r="BB308" s="161"/>
      <c r="BC308" s="161"/>
      <c r="BD308" s="161"/>
      <c r="BE308" s="161"/>
      <c r="BF308" s="161"/>
      <c r="BG308" s="161"/>
      <c r="BH308" s="365"/>
    </row>
    <row r="309" spans="1:60" s="114" customFormat="1" hidden="1" outlineLevel="2" x14ac:dyDescent="0.25">
      <c r="A309" s="915" t="s">
        <v>77</v>
      </c>
      <c r="B309" s="911"/>
      <c r="C309" s="912">
        <f t="shared" ref="C309:AH309" si="251">(C384-C394-C288)/C381</f>
        <v>0.85282688511117266</v>
      </c>
      <c r="D309" s="912">
        <f t="shared" si="251"/>
        <v>0.64369046803261842</v>
      </c>
      <c r="E309" s="912">
        <f t="shared" si="251"/>
        <v>0.61230305226153281</v>
      </c>
      <c r="F309" s="912">
        <f t="shared" si="251"/>
        <v>0.85218363435739586</v>
      </c>
      <c r="G309" s="913">
        <f t="shared" si="251"/>
        <v>0.79404121098200031</v>
      </c>
      <c r="H309" s="913">
        <f t="shared" si="251"/>
        <v>0.69456408788094959</v>
      </c>
      <c r="I309" s="913">
        <f t="shared" si="251"/>
        <v>0.68856787822305066</v>
      </c>
      <c r="J309" s="913">
        <f t="shared" si="251"/>
        <v>0.675629328743098</v>
      </c>
      <c r="K309" s="912">
        <f t="shared" si="251"/>
        <v>0.71524949639830415</v>
      </c>
      <c r="L309" s="913">
        <f t="shared" si="251"/>
        <v>0.67366914729381744</v>
      </c>
      <c r="M309" s="913">
        <f t="shared" si="251"/>
        <v>0.64694566445137391</v>
      </c>
      <c r="N309" s="913">
        <f t="shared" si="251"/>
        <v>0.62173692539598313</v>
      </c>
      <c r="O309" s="913">
        <f t="shared" si="251"/>
        <v>0.65011012260351375</v>
      </c>
      <c r="P309" s="912">
        <f t="shared" si="251"/>
        <v>0.64636331915521583</v>
      </c>
      <c r="Q309" s="913">
        <f t="shared" si="251"/>
        <v>0.63635144912116437</v>
      </c>
      <c r="R309" s="913">
        <f t="shared" si="251"/>
        <v>0.67582536105619406</v>
      </c>
      <c r="S309" s="913">
        <f t="shared" si="251"/>
        <v>0.63098413837054024</v>
      </c>
      <c r="T309" s="913">
        <f t="shared" si="251"/>
        <v>0.6967324890067359</v>
      </c>
      <c r="U309" s="912">
        <f t="shared" si="251"/>
        <v>0.66254855073806995</v>
      </c>
      <c r="V309" s="913">
        <f t="shared" si="251"/>
        <v>0.63791314748816086</v>
      </c>
      <c r="W309" s="913">
        <f t="shared" si="251"/>
        <v>0.63425450210508993</v>
      </c>
      <c r="X309" s="913">
        <f t="shared" si="251"/>
        <v>0.59705556300023155</v>
      </c>
      <c r="Y309" s="913">
        <f t="shared" si="251"/>
        <v>0.66262429250062704</v>
      </c>
      <c r="Z309" s="912">
        <f t="shared" si="251"/>
        <v>0.63189894133424918</v>
      </c>
      <c r="AA309" s="913">
        <f t="shared" si="251"/>
        <v>0.60887485303771505</v>
      </c>
      <c r="AB309" s="913">
        <f t="shared" si="251"/>
        <v>0.61884557297090548</v>
      </c>
      <c r="AC309" s="913">
        <f t="shared" si="251"/>
        <v>0.71188487858812088</v>
      </c>
      <c r="AD309" s="913">
        <f t="shared" si="251"/>
        <v>0.71882482135629044</v>
      </c>
      <c r="AE309" s="912">
        <f t="shared" si="251"/>
        <v>0.66813354581621798</v>
      </c>
      <c r="AF309" s="913">
        <f t="shared" si="251"/>
        <v>0.73865970263008351</v>
      </c>
      <c r="AG309" s="913">
        <f t="shared" si="251"/>
        <v>0.7200896200144371</v>
      </c>
      <c r="AH309" s="913">
        <f t="shared" si="251"/>
        <v>0.69938410820095442</v>
      </c>
      <c r="AI309" s="913">
        <f t="shared" ref="AI309:BG309" si="252">(AI384-AI394-AI288)/AI381</f>
        <v>0.72789779172703417</v>
      </c>
      <c r="AJ309" s="912">
        <f t="shared" si="252"/>
        <v>0.71908402616285305</v>
      </c>
      <c r="AK309" s="913">
        <f t="shared" si="252"/>
        <v>0.76810187199546232</v>
      </c>
      <c r="AL309" s="913">
        <f t="shared" si="252"/>
        <v>0.75837743532110935</v>
      </c>
      <c r="AM309" s="913">
        <f t="shared" si="252"/>
        <v>0.72221941932413125</v>
      </c>
      <c r="AN309" s="913">
        <f t="shared" si="252"/>
        <v>0.7274099183895687</v>
      </c>
      <c r="AO309" s="912">
        <f t="shared" si="252"/>
        <v>0.74159817723167065</v>
      </c>
      <c r="AP309" s="913">
        <f t="shared" si="252"/>
        <v>0.69590643274853803</v>
      </c>
      <c r="AQ309" s="913">
        <f t="shared" si="252"/>
        <v>0.6875414181577203</v>
      </c>
      <c r="AR309" s="913">
        <f t="shared" si="252"/>
        <v>0.69114126097366324</v>
      </c>
      <c r="AS309" s="913">
        <f t="shared" si="252"/>
        <v>0.73771407297096059</v>
      </c>
      <c r="AT309" s="912">
        <f t="shared" si="252"/>
        <v>0.70722349061390155</v>
      </c>
      <c r="AU309" s="913">
        <f t="shared" si="252"/>
        <v>0.71710462989700641</v>
      </c>
      <c r="AV309" s="913">
        <f t="shared" si="252"/>
        <v>0.69284161230975083</v>
      </c>
      <c r="AW309" s="914">
        <f t="shared" si="252"/>
        <v>0.67143999418477862</v>
      </c>
      <c r="AX309" s="913">
        <f t="shared" si="252"/>
        <v>0.66770341167901015</v>
      </c>
      <c r="AY309" s="912">
        <f t="shared" si="252"/>
        <v>0.68402767999791425</v>
      </c>
      <c r="AZ309" s="913">
        <f t="shared" si="252"/>
        <v>0.67693789838154139</v>
      </c>
      <c r="BA309" s="913">
        <f t="shared" si="252"/>
        <v>0.68688765217028203</v>
      </c>
      <c r="BB309" s="913">
        <f t="shared" si="252"/>
        <v>0.68430974583926918</v>
      </c>
      <c r="BC309" s="913">
        <f t="shared" si="252"/>
        <v>0.69537573062960722</v>
      </c>
      <c r="BD309" s="912">
        <f t="shared" si="252"/>
        <v>0.68687544024737002</v>
      </c>
      <c r="BE309" s="912">
        <f t="shared" si="252"/>
        <v>0.69272658400054332</v>
      </c>
      <c r="BF309" s="912">
        <f t="shared" si="252"/>
        <v>0.69749324986935235</v>
      </c>
      <c r="BG309" s="912">
        <f t="shared" si="252"/>
        <v>0.70321538053162569</v>
      </c>
      <c r="BH309" s="365"/>
    </row>
    <row r="310" spans="1:60" s="187" customFormat="1" hidden="1" outlineLevel="2" x14ac:dyDescent="0.25">
      <c r="A310" s="910" t="s">
        <v>79</v>
      </c>
      <c r="B310" s="911"/>
      <c r="C310" s="912">
        <f t="shared" ref="C310:AH310" si="253">1-C309</f>
        <v>0.14717311488882734</v>
      </c>
      <c r="D310" s="912">
        <f t="shared" si="253"/>
        <v>0.35630953196738158</v>
      </c>
      <c r="E310" s="912">
        <f t="shared" si="253"/>
        <v>0.38769694773846719</v>
      </c>
      <c r="F310" s="912">
        <f t="shared" si="253"/>
        <v>0.14781636564260414</v>
      </c>
      <c r="G310" s="913">
        <f t="shared" si="253"/>
        <v>0.20595878901799969</v>
      </c>
      <c r="H310" s="913">
        <f t="shared" si="253"/>
        <v>0.30543591211905041</v>
      </c>
      <c r="I310" s="913">
        <f t="shared" si="253"/>
        <v>0.31143212177694934</v>
      </c>
      <c r="J310" s="913">
        <f t="shared" si="253"/>
        <v>0.324370671256902</v>
      </c>
      <c r="K310" s="912">
        <f t="shared" si="253"/>
        <v>0.28475050360169585</v>
      </c>
      <c r="L310" s="913">
        <f t="shared" si="253"/>
        <v>0.32633085270618256</v>
      </c>
      <c r="M310" s="913">
        <f t="shared" si="253"/>
        <v>0.35305433554862609</v>
      </c>
      <c r="N310" s="913">
        <f t="shared" si="253"/>
        <v>0.37826307460401687</v>
      </c>
      <c r="O310" s="913">
        <f t="shared" si="253"/>
        <v>0.34988987739648625</v>
      </c>
      <c r="P310" s="912">
        <f t="shared" si="253"/>
        <v>0.35363668084478417</v>
      </c>
      <c r="Q310" s="913">
        <f t="shared" si="253"/>
        <v>0.36364855087883563</v>
      </c>
      <c r="R310" s="913">
        <f t="shared" si="253"/>
        <v>0.32417463894380594</v>
      </c>
      <c r="S310" s="913">
        <f t="shared" si="253"/>
        <v>0.36901586162945976</v>
      </c>
      <c r="T310" s="913">
        <f t="shared" si="253"/>
        <v>0.3032675109932641</v>
      </c>
      <c r="U310" s="912">
        <f t="shared" si="253"/>
        <v>0.33745144926193005</v>
      </c>
      <c r="V310" s="913">
        <f t="shared" si="253"/>
        <v>0.36208685251183914</v>
      </c>
      <c r="W310" s="913">
        <f t="shared" si="253"/>
        <v>0.36574549789491007</v>
      </c>
      <c r="X310" s="913">
        <f t="shared" si="253"/>
        <v>0.40294443699976845</v>
      </c>
      <c r="Y310" s="913">
        <f t="shared" si="253"/>
        <v>0.33737570749937296</v>
      </c>
      <c r="Z310" s="912">
        <f t="shared" si="253"/>
        <v>0.36810105866575082</v>
      </c>
      <c r="AA310" s="913">
        <f t="shared" si="253"/>
        <v>0.39112514696228495</v>
      </c>
      <c r="AB310" s="913">
        <f t="shared" si="253"/>
        <v>0.38115442702909452</v>
      </c>
      <c r="AC310" s="913">
        <f t="shared" si="253"/>
        <v>0.28811512141187912</v>
      </c>
      <c r="AD310" s="913">
        <f t="shared" si="253"/>
        <v>0.28117517864370956</v>
      </c>
      <c r="AE310" s="912">
        <f t="shared" si="253"/>
        <v>0.33186645418378202</v>
      </c>
      <c r="AF310" s="913">
        <f t="shared" si="253"/>
        <v>0.26134029736991649</v>
      </c>
      <c r="AG310" s="913">
        <f t="shared" si="253"/>
        <v>0.2799103799855629</v>
      </c>
      <c r="AH310" s="913">
        <f t="shared" si="253"/>
        <v>0.30061589179904558</v>
      </c>
      <c r="AI310" s="913">
        <f t="shared" ref="AI310:BG310" si="254">1-AI309</f>
        <v>0.27210220827296583</v>
      </c>
      <c r="AJ310" s="912">
        <f t="shared" si="254"/>
        <v>0.28091597383714695</v>
      </c>
      <c r="AK310" s="913">
        <f t="shared" si="254"/>
        <v>0.23189812800453768</v>
      </c>
      <c r="AL310" s="913">
        <f t="shared" si="254"/>
        <v>0.24162256467889065</v>
      </c>
      <c r="AM310" s="913">
        <f t="shared" si="254"/>
        <v>0.27778058067586875</v>
      </c>
      <c r="AN310" s="913">
        <f t="shared" si="254"/>
        <v>0.2725900816104313</v>
      </c>
      <c r="AO310" s="912">
        <f t="shared" si="254"/>
        <v>0.25840182276832935</v>
      </c>
      <c r="AP310" s="913">
        <f t="shared" si="254"/>
        <v>0.30409356725146197</v>
      </c>
      <c r="AQ310" s="913">
        <f t="shared" si="254"/>
        <v>0.3124585818422797</v>
      </c>
      <c r="AR310" s="913">
        <f t="shared" si="254"/>
        <v>0.30885873902633676</v>
      </c>
      <c r="AS310" s="913">
        <f t="shared" si="254"/>
        <v>0.26228592702903941</v>
      </c>
      <c r="AT310" s="912">
        <f t="shared" si="254"/>
        <v>0.29277650938609845</v>
      </c>
      <c r="AU310" s="913">
        <f t="shared" si="254"/>
        <v>0.28289537010299359</v>
      </c>
      <c r="AV310" s="913">
        <f t="shared" si="254"/>
        <v>0.30715838769024917</v>
      </c>
      <c r="AW310" s="914">
        <f t="shared" si="254"/>
        <v>0.32856000581522138</v>
      </c>
      <c r="AX310" s="913">
        <f t="shared" si="254"/>
        <v>0.33229658832098985</v>
      </c>
      <c r="AY310" s="912">
        <f t="shared" si="254"/>
        <v>0.31597232000208575</v>
      </c>
      <c r="AZ310" s="913">
        <f t="shared" si="254"/>
        <v>0.32306210161845861</v>
      </c>
      <c r="BA310" s="913">
        <f t="shared" si="254"/>
        <v>0.31311234782971797</v>
      </c>
      <c r="BB310" s="913">
        <f t="shared" si="254"/>
        <v>0.31569025416073082</v>
      </c>
      <c r="BC310" s="913">
        <f t="shared" si="254"/>
        <v>0.30462426937039278</v>
      </c>
      <c r="BD310" s="912">
        <f t="shared" si="254"/>
        <v>0.31312455975262998</v>
      </c>
      <c r="BE310" s="912">
        <f t="shared" si="254"/>
        <v>0.30727341599945668</v>
      </c>
      <c r="BF310" s="912">
        <f t="shared" si="254"/>
        <v>0.30250675013064765</v>
      </c>
      <c r="BG310" s="912">
        <f t="shared" si="254"/>
        <v>0.29678461946837431</v>
      </c>
      <c r="BH310" s="370"/>
    </row>
    <row r="311" spans="1:60" s="187" customFormat="1" hidden="1" outlineLevel="2" x14ac:dyDescent="0.25">
      <c r="A311" s="222"/>
      <c r="B311" s="235"/>
      <c r="C311" s="98"/>
      <c r="D311" s="98"/>
      <c r="E311" s="98"/>
      <c r="F311" s="98"/>
      <c r="G311" s="160"/>
      <c r="H311" s="160"/>
      <c r="I311" s="160"/>
      <c r="J311" s="160"/>
      <c r="K311" s="98"/>
      <c r="L311" s="160"/>
      <c r="M311" s="160"/>
      <c r="N311" s="160"/>
      <c r="O311" s="160"/>
      <c r="P311" s="98"/>
      <c r="Q311" s="160"/>
      <c r="R311" s="160"/>
      <c r="S311" s="160"/>
      <c r="T311" s="160"/>
      <c r="U311" s="98"/>
      <c r="V311" s="160"/>
      <c r="W311" s="160"/>
      <c r="X311" s="160"/>
      <c r="Y311" s="160"/>
      <c r="Z311" s="98"/>
      <c r="AA311" s="160"/>
      <c r="AB311" s="160"/>
      <c r="AC311" s="160"/>
      <c r="AD311" s="160"/>
      <c r="AE311" s="98"/>
      <c r="AF311" s="160"/>
      <c r="AG311" s="160"/>
      <c r="AH311" s="160"/>
      <c r="AI311" s="160"/>
      <c r="AJ311" s="98"/>
      <c r="AK311" s="160"/>
      <c r="AL311" s="160"/>
      <c r="AM311" s="160"/>
      <c r="AN311" s="160"/>
      <c r="AO311" s="98"/>
      <c r="AP311" s="160"/>
      <c r="AQ311" s="160"/>
      <c r="AR311" s="160"/>
      <c r="AS311" s="160"/>
      <c r="AT311" s="98"/>
      <c r="AU311" s="160"/>
      <c r="AV311" s="160"/>
      <c r="AW311" s="731"/>
      <c r="AX311" s="160"/>
      <c r="AY311" s="98"/>
      <c r="AZ311" s="160"/>
      <c r="BA311" s="160"/>
      <c r="BB311" s="160"/>
      <c r="BC311" s="160"/>
      <c r="BD311" s="98"/>
      <c r="BE311" s="98"/>
      <c r="BF311" s="98"/>
      <c r="BG311" s="98"/>
      <c r="BH311" s="370"/>
    </row>
    <row r="312" spans="1:60" s="187" customFormat="1" hidden="1" outlineLevel="1" collapsed="1" x14ac:dyDescent="0.25">
      <c r="A312" s="908" t="s">
        <v>78</v>
      </c>
      <c r="B312" s="469"/>
      <c r="C312" s="480">
        <f t="shared" ref="C312:AH312" si="255">C384/C381</f>
        <v>0.91482272227830241</v>
      </c>
      <c r="D312" s="480">
        <f t="shared" si="255"/>
        <v>0.73676591516480505</v>
      </c>
      <c r="E312" s="480">
        <f t="shared" si="255"/>
        <v>0.69842148040070107</v>
      </c>
      <c r="F312" s="480">
        <f t="shared" si="255"/>
        <v>0.92724364558530303</v>
      </c>
      <c r="G312" s="460">
        <f t="shared" si="255"/>
        <v>0.82854864433811792</v>
      </c>
      <c r="H312" s="460">
        <f t="shared" si="255"/>
        <v>0.75197895043429541</v>
      </c>
      <c r="I312" s="460">
        <f t="shared" si="255"/>
        <v>0.76151859528081867</v>
      </c>
      <c r="J312" s="460">
        <f t="shared" si="255"/>
        <v>0.74547112491649303</v>
      </c>
      <c r="K312" s="480">
        <f t="shared" si="255"/>
        <v>0.77339810955671129</v>
      </c>
      <c r="L312" s="460">
        <f t="shared" si="255"/>
        <v>0.75001208620850812</v>
      </c>
      <c r="M312" s="460">
        <f t="shared" si="255"/>
        <v>0.72314905199070911</v>
      </c>
      <c r="N312" s="460">
        <f t="shared" si="255"/>
        <v>0.70433221727063977</v>
      </c>
      <c r="O312" s="460">
        <f t="shared" si="255"/>
        <v>0.72644750857409268</v>
      </c>
      <c r="P312" s="480">
        <f t="shared" si="255"/>
        <v>0.72433619021772433</v>
      </c>
      <c r="Q312" s="460">
        <f t="shared" si="255"/>
        <v>0.72329127122611392</v>
      </c>
      <c r="R312" s="460">
        <f t="shared" si="255"/>
        <v>0.77657030124317261</v>
      </c>
      <c r="S312" s="460">
        <f t="shared" si="255"/>
        <v>0.75288352019504923</v>
      </c>
      <c r="T312" s="460">
        <f t="shared" si="255"/>
        <v>0.82002009255751906</v>
      </c>
      <c r="U312" s="480">
        <f t="shared" si="255"/>
        <v>0.77175054528827669</v>
      </c>
      <c r="V312" s="460">
        <f t="shared" si="255"/>
        <v>0.77989761544416625</v>
      </c>
      <c r="W312" s="460">
        <f t="shared" si="255"/>
        <v>0.78364384098795525</v>
      </c>
      <c r="X312" s="460">
        <f t="shared" si="255"/>
        <v>0.72297031546669133</v>
      </c>
      <c r="Y312" s="460">
        <f t="shared" si="255"/>
        <v>0.80947557833190575</v>
      </c>
      <c r="Z312" s="480">
        <f t="shared" si="255"/>
        <v>0.77153902240700611</v>
      </c>
      <c r="AA312" s="460">
        <f t="shared" si="255"/>
        <v>0.75227035868069592</v>
      </c>
      <c r="AB312" s="460">
        <f t="shared" si="255"/>
        <v>0.76103194880047265</v>
      </c>
      <c r="AC312" s="460">
        <f t="shared" si="255"/>
        <v>0.84951795421612053</v>
      </c>
      <c r="AD312" s="460">
        <f t="shared" si="255"/>
        <v>0.86655937552174445</v>
      </c>
      <c r="AE312" s="480">
        <f t="shared" si="255"/>
        <v>0.81099293623957158</v>
      </c>
      <c r="AF312" s="460">
        <f t="shared" si="255"/>
        <v>0.86607235318742848</v>
      </c>
      <c r="AG312" s="460">
        <f t="shared" si="255"/>
        <v>0.84535375394373813</v>
      </c>
      <c r="AH312" s="460">
        <f t="shared" si="255"/>
        <v>0.77673317837006639</v>
      </c>
      <c r="AI312" s="460">
        <f t="shared" ref="AI312:BG312" si="256">AI384/AI381</f>
        <v>0.80031478549373891</v>
      </c>
      <c r="AJ312" s="480">
        <f t="shared" si="256"/>
        <v>0.8116597304502231</v>
      </c>
      <c r="AK312" s="460">
        <f t="shared" si="256"/>
        <v>0.87542717502549838</v>
      </c>
      <c r="AL312" s="460">
        <f t="shared" si="256"/>
        <v>0.85494598464551586</v>
      </c>
      <c r="AM312" s="460">
        <f t="shared" si="256"/>
        <v>0.81104236078058067</v>
      </c>
      <c r="AN312" s="460">
        <f t="shared" si="256"/>
        <v>0.81158757072858922</v>
      </c>
      <c r="AO312" s="480">
        <f t="shared" si="256"/>
        <v>0.83444543901049717</v>
      </c>
      <c r="AP312" s="460">
        <f t="shared" si="256"/>
        <v>0.79381787802840431</v>
      </c>
      <c r="AQ312" s="460">
        <f t="shared" si="256"/>
        <v>0.79009277667329358</v>
      </c>
      <c r="AR312" s="460">
        <f t="shared" si="256"/>
        <v>0.76479306806521496</v>
      </c>
      <c r="AS312" s="460">
        <f t="shared" si="256"/>
        <v>0.80770662695457929</v>
      </c>
      <c r="AT312" s="480">
        <f t="shared" si="256"/>
        <v>0.7897640791476408</v>
      </c>
      <c r="AU312" s="460">
        <f t="shared" si="256"/>
        <v>0.78679372413129267</v>
      </c>
      <c r="AV312" s="460">
        <f t="shared" si="256"/>
        <v>0.75882254557618334</v>
      </c>
      <c r="AW312" s="735">
        <f t="shared" si="256"/>
        <v>0.73395362360979866</v>
      </c>
      <c r="AX312" s="460">
        <f t="shared" si="256"/>
        <v>0.72427888688334596</v>
      </c>
      <c r="AY312" s="480">
        <f t="shared" si="256"/>
        <v>0.7468367405820201</v>
      </c>
      <c r="AZ312" s="460">
        <f t="shared" si="256"/>
        <v>0.7215976030160357</v>
      </c>
      <c r="BA312" s="460">
        <f t="shared" si="256"/>
        <v>0.72604894327385094</v>
      </c>
      <c r="BB312" s="460">
        <f t="shared" si="256"/>
        <v>0.71806941016203463</v>
      </c>
      <c r="BC312" s="460">
        <f t="shared" si="256"/>
        <v>0.72593431655098295</v>
      </c>
      <c r="BD312" s="480">
        <f t="shared" si="256"/>
        <v>0.72298281962361588</v>
      </c>
      <c r="BE312" s="480">
        <f t="shared" si="256"/>
        <v>0.72367631563291435</v>
      </c>
      <c r="BF312" s="480">
        <f t="shared" si="256"/>
        <v>0.72477301589604359</v>
      </c>
      <c r="BG312" s="480">
        <f t="shared" si="256"/>
        <v>0.72686343127034259</v>
      </c>
      <c r="BH312" s="370"/>
    </row>
    <row r="313" spans="1:60" s="907" customFormat="1" hidden="1" outlineLevel="1" x14ac:dyDescent="0.25">
      <c r="A313" s="906" t="s">
        <v>741</v>
      </c>
      <c r="B313" s="235"/>
      <c r="C313" s="98">
        <f t="shared" ref="C313:AH313" si="257">C130</f>
        <v>8.5177277721697614E-2</v>
      </c>
      <c r="D313" s="98">
        <f t="shared" si="257"/>
        <v>0.17610581182142199</v>
      </c>
      <c r="E313" s="98">
        <f t="shared" si="257"/>
        <v>0.22269936998546128</v>
      </c>
      <c r="F313" s="98">
        <f t="shared" si="257"/>
        <v>3.6404035271027396E-2</v>
      </c>
      <c r="G313" s="160">
        <f t="shared" si="257"/>
        <v>0.16819973955472142</v>
      </c>
      <c r="H313" s="160">
        <f t="shared" si="257"/>
        <v>0.24390401832965999</v>
      </c>
      <c r="I313" s="160">
        <f t="shared" si="257"/>
        <v>0.2448023691526654</v>
      </c>
      <c r="J313" s="160">
        <f t="shared" si="257"/>
        <v>0.25746662039250112</v>
      </c>
      <c r="K313" s="98">
        <f t="shared" si="257"/>
        <v>0.22720551650677306</v>
      </c>
      <c r="L313" s="160">
        <f t="shared" si="257"/>
        <v>0.2591688162602675</v>
      </c>
      <c r="M313" s="160">
        <f t="shared" si="257"/>
        <v>0.28580614402558835</v>
      </c>
      <c r="N313" s="160">
        <f t="shared" si="257"/>
        <v>0.30869279860985233</v>
      </c>
      <c r="O313" s="160">
        <f t="shared" si="257"/>
        <v>0.28492827910278118</v>
      </c>
      <c r="P313" s="98">
        <f t="shared" si="257"/>
        <v>0.28641821183287608</v>
      </c>
      <c r="Q313" s="160">
        <f t="shared" si="257"/>
        <v>0.29281220615233067</v>
      </c>
      <c r="R313" s="160">
        <f t="shared" si="257"/>
        <v>0.24109601521484136</v>
      </c>
      <c r="S313" s="160">
        <f t="shared" si="257"/>
        <v>0.2625355548908867</v>
      </c>
      <c r="T313" s="160">
        <f t="shared" si="257"/>
        <v>0.19746143268445707</v>
      </c>
      <c r="U313" s="98">
        <f t="shared" si="257"/>
        <v>0.24530275946926103</v>
      </c>
      <c r="V313" s="160">
        <f t="shared" si="257"/>
        <v>0.24048012599603927</v>
      </c>
      <c r="W313" s="160">
        <f t="shared" si="257"/>
        <v>0.23062955429275411</v>
      </c>
      <c r="X313" s="160">
        <f t="shared" si="257"/>
        <v>0.29327614603205726</v>
      </c>
      <c r="Y313" s="160">
        <f t="shared" si="257"/>
        <v>0.21089724389734912</v>
      </c>
      <c r="Z313" s="98">
        <f t="shared" si="257"/>
        <v>0.23634252023660005</v>
      </c>
      <c r="AA313" s="160">
        <f t="shared" si="257"/>
        <v>0.26456762945564261</v>
      </c>
      <c r="AB313" s="160">
        <f t="shared" si="257"/>
        <v>0.26877546115603335</v>
      </c>
      <c r="AC313" s="160">
        <f t="shared" si="257"/>
        <v>0.15462233673980891</v>
      </c>
      <c r="AD313" s="160">
        <f t="shared" si="257"/>
        <v>0.16997072361607543</v>
      </c>
      <c r="AE313" s="98">
        <f t="shared" si="257"/>
        <v>0.21210598737959824</v>
      </c>
      <c r="AF313" s="160">
        <f t="shared" si="257"/>
        <v>0.18364787435481972</v>
      </c>
      <c r="AG313" s="160">
        <f t="shared" si="257"/>
        <v>0.18863100230446145</v>
      </c>
      <c r="AH313" s="160">
        <f t="shared" si="257"/>
        <v>0.25047798642635938</v>
      </c>
      <c r="AI313" s="160">
        <f t="shared" ref="AI313:BG313" si="258">AI130</f>
        <v>0.23297287498367936</v>
      </c>
      <c r="AJ313" s="98">
        <f t="shared" si="258"/>
        <v>0.22380087209714516</v>
      </c>
      <c r="AK313" s="160">
        <f t="shared" si="258"/>
        <v>0.18597325935428125</v>
      </c>
      <c r="AL313" s="160">
        <f t="shared" si="258"/>
        <v>0.17690774448353311</v>
      </c>
      <c r="AM313" s="160">
        <f t="shared" si="258"/>
        <v>0.21784879189399844</v>
      </c>
      <c r="AN313" s="160">
        <f t="shared" si="258"/>
        <v>0.21620606221611033</v>
      </c>
      <c r="AO313" s="98">
        <f t="shared" si="258"/>
        <v>0.20113271852445871</v>
      </c>
      <c r="AP313" s="160">
        <f t="shared" si="258"/>
        <v>0.2440220723482526</v>
      </c>
      <c r="AQ313" s="160">
        <f t="shared" si="258"/>
        <v>0.24373854612095297</v>
      </c>
      <c r="AR313" s="160">
        <f t="shared" si="258"/>
        <v>0.27021508303838826</v>
      </c>
      <c r="AS313" s="160">
        <f t="shared" si="258"/>
        <v>0.23378348461368165</v>
      </c>
      <c r="AT313" s="98">
        <f t="shared" si="258"/>
        <v>0.2477849068133211</v>
      </c>
      <c r="AU313" s="160">
        <f t="shared" si="258"/>
        <v>0.2582423894313613</v>
      </c>
      <c r="AV313" s="160">
        <f t="shared" si="258"/>
        <v>0.27901559651610292</v>
      </c>
      <c r="AW313" s="731">
        <f t="shared" si="258"/>
        <v>0.30174777244688145</v>
      </c>
      <c r="AX313" s="160">
        <f t="shared" si="258"/>
        <v>0.30998348461368164</v>
      </c>
      <c r="AY313" s="98">
        <f t="shared" si="258"/>
        <v>0.29090849046962741</v>
      </c>
      <c r="AZ313" s="160">
        <f t="shared" si="258"/>
        <v>0.31</v>
      </c>
      <c r="BA313" s="160">
        <f t="shared" si="258"/>
        <v>0.31</v>
      </c>
      <c r="BB313" s="160">
        <f t="shared" si="258"/>
        <v>0.32</v>
      </c>
      <c r="BC313" s="160">
        <f t="shared" si="258"/>
        <v>0.31098348461368164</v>
      </c>
      <c r="BD313" s="98">
        <f t="shared" si="258"/>
        <v>0.31301866367862602</v>
      </c>
      <c r="BE313" s="98">
        <f t="shared" si="258"/>
        <v>0.31401866367862602</v>
      </c>
      <c r="BF313" s="98">
        <f t="shared" si="258"/>
        <v>0.31501866367862602</v>
      </c>
      <c r="BG313" s="98">
        <f t="shared" si="258"/>
        <v>0.31601866367862602</v>
      </c>
      <c r="BH313" s="1005"/>
    </row>
    <row r="314" spans="1:60" s="907" customFormat="1" hidden="1" outlineLevel="1" x14ac:dyDescent="0.25">
      <c r="A314" s="906" t="s">
        <v>625</v>
      </c>
      <c r="B314" s="235"/>
      <c r="C314" s="98"/>
      <c r="D314" s="98"/>
      <c r="E314" s="98"/>
      <c r="F314" s="98"/>
      <c r="G314" s="160"/>
      <c r="H314" s="160"/>
      <c r="I314" s="160"/>
      <c r="J314" s="160"/>
      <c r="K314" s="98"/>
      <c r="L314" s="160"/>
      <c r="M314" s="160"/>
      <c r="N314" s="160"/>
      <c r="O314" s="160"/>
      <c r="P314" s="98"/>
      <c r="Q314" s="160"/>
      <c r="R314" s="160"/>
      <c r="S314" s="160"/>
      <c r="T314" s="160"/>
      <c r="U314" s="98"/>
      <c r="V314" s="160"/>
      <c r="W314" s="160"/>
      <c r="X314" s="160">
        <f t="shared" ref="X314:BG314" si="259">X177</f>
        <v>0.29974274163910325</v>
      </c>
      <c r="Y314" s="160">
        <f t="shared" si="259"/>
        <v>0.3253414168701948</v>
      </c>
      <c r="Z314" s="98">
        <f t="shared" si="259"/>
        <v>0.36726182427775711</v>
      </c>
      <c r="AA314" s="160">
        <f t="shared" si="259"/>
        <v>0.34774102302192184</v>
      </c>
      <c r="AB314" s="160">
        <f t="shared" si="259"/>
        <v>0.35683227991963756</v>
      </c>
      <c r="AC314" s="160">
        <f t="shared" si="259"/>
        <v>0.38766695322164685</v>
      </c>
      <c r="AD314" s="160">
        <f t="shared" si="259"/>
        <v>0.34646827211125747</v>
      </c>
      <c r="AE314" s="98">
        <f t="shared" si="259"/>
        <v>0.35996992448587856</v>
      </c>
      <c r="AF314" s="160">
        <f t="shared" si="259"/>
        <v>0.39749532968933793</v>
      </c>
      <c r="AG314" s="160">
        <f t="shared" si="259"/>
        <v>0.42908313039997337</v>
      </c>
      <c r="AH314" s="160">
        <f t="shared" si="259"/>
        <v>0.4589383156204499</v>
      </c>
      <c r="AI314" s="160">
        <f t="shared" si="259"/>
        <v>0.48856046895270444</v>
      </c>
      <c r="AJ314" s="98">
        <f t="shared" si="259"/>
        <v>0.44714594079421727</v>
      </c>
      <c r="AK314" s="160">
        <f t="shared" si="259"/>
        <v>0.45568984752696173</v>
      </c>
      <c r="AL314" s="160">
        <f t="shared" si="259"/>
        <v>0.48972461389312827</v>
      </c>
      <c r="AM314" s="160">
        <f t="shared" si="259"/>
        <v>0.47058823529411764</v>
      </c>
      <c r="AN314" s="160">
        <f t="shared" si="259"/>
        <v>0.47181963138812927</v>
      </c>
      <c r="AO314" s="98">
        <f t="shared" si="259"/>
        <v>0.47180667433831991</v>
      </c>
      <c r="AP314" s="160">
        <f t="shared" si="259"/>
        <v>0.4895397489539749</v>
      </c>
      <c r="AQ314" s="160">
        <f t="shared" si="259"/>
        <v>0.44776119402985076</v>
      </c>
      <c r="AR314" s="160">
        <f t="shared" si="259"/>
        <v>0.45283018867924529</v>
      </c>
      <c r="AS314" s="160">
        <f t="shared" si="259"/>
        <v>0.47142857142857142</v>
      </c>
      <c r="AT314" s="98">
        <f t="shared" si="259"/>
        <v>0.46482889733840305</v>
      </c>
      <c r="AU314" s="160">
        <f t="shared" si="259"/>
        <v>0.46127946127946129</v>
      </c>
      <c r="AV314" s="160">
        <f t="shared" si="259"/>
        <v>0.43373493975903615</v>
      </c>
      <c r="AW314" s="731">
        <f t="shared" si="259"/>
        <v>0.39220779220779223</v>
      </c>
      <c r="AX314" s="160">
        <f t="shared" si="259"/>
        <v>0.45642857142857141</v>
      </c>
      <c r="AY314" s="98">
        <f t="shared" si="259"/>
        <v>0.4353678402865625</v>
      </c>
      <c r="AZ314" s="160">
        <f t="shared" si="259"/>
        <v>0.45627946127946128</v>
      </c>
      <c r="BA314" s="160">
        <f t="shared" si="259"/>
        <v>0.43473493975903615</v>
      </c>
      <c r="BB314" s="160">
        <f t="shared" si="259"/>
        <v>0.43720779220779221</v>
      </c>
      <c r="BC314" s="160">
        <f t="shared" si="259"/>
        <v>0.4554285714285714</v>
      </c>
      <c r="BD314" s="98">
        <f t="shared" si="259"/>
        <v>0.44609268039904765</v>
      </c>
      <c r="BE314" s="98">
        <f t="shared" si="259"/>
        <v>0.44709268039904765</v>
      </c>
      <c r="BF314" s="98">
        <f t="shared" si="259"/>
        <v>0.44809268039904765</v>
      </c>
      <c r="BG314" s="98">
        <f t="shared" si="259"/>
        <v>0.44909268039904765</v>
      </c>
      <c r="BH314" s="1005"/>
    </row>
    <row r="315" spans="1:60" s="907" customFormat="1" hidden="1" outlineLevel="1" x14ac:dyDescent="0.25">
      <c r="A315" s="906" t="s">
        <v>742</v>
      </c>
      <c r="B315" s="235"/>
      <c r="C315" s="98"/>
      <c r="D315" s="98">
        <f t="shared" ref="D315:AI315" si="260">D191</f>
        <v>0.69332858740974279</v>
      </c>
      <c r="E315" s="98">
        <f t="shared" si="260"/>
        <v>0.51207026619247764</v>
      </c>
      <c r="F315" s="98">
        <f t="shared" si="260"/>
        <v>0.58155822477047558</v>
      </c>
      <c r="G315" s="160">
        <f t="shared" si="260"/>
        <v>0.44543936864471095</v>
      </c>
      <c r="H315" s="160">
        <f t="shared" si="260"/>
        <v>0.70671476137624867</v>
      </c>
      <c r="I315" s="160">
        <f t="shared" si="260"/>
        <v>-2.1260869565217395</v>
      </c>
      <c r="J315" s="160">
        <f t="shared" si="260"/>
        <v>-0.15640027478818411</v>
      </c>
      <c r="K315" s="98">
        <f t="shared" si="260"/>
        <v>0.14984086569064295</v>
      </c>
      <c r="L315" s="160">
        <f t="shared" si="260"/>
        <v>7.9283887468030667E-2</v>
      </c>
      <c r="M315" s="160">
        <f t="shared" si="260"/>
        <v>0.11986994219653188</v>
      </c>
      <c r="N315" s="160">
        <f t="shared" si="260"/>
        <v>9.4875599838116012E-2</v>
      </c>
      <c r="O315" s="160">
        <f t="shared" si="260"/>
        <v>0.12069720063381872</v>
      </c>
      <c r="P315" s="98">
        <f t="shared" si="260"/>
        <v>0.10665607492265233</v>
      </c>
      <c r="Q315" s="160">
        <f t="shared" si="260"/>
        <v>-3.2259450171821205E-2</v>
      </c>
      <c r="R315" s="160">
        <f t="shared" si="260"/>
        <v>2.1668444190099587E-2</v>
      </c>
      <c r="S315" s="160">
        <f t="shared" si="260"/>
        <v>9.1055868176745755E-2</v>
      </c>
      <c r="T315" s="160">
        <f t="shared" si="260"/>
        <v>-2.0560325350203298E-2</v>
      </c>
      <c r="U315" s="98">
        <f t="shared" si="260"/>
        <v>1.9118052004248435E-2</v>
      </c>
      <c r="V315" s="160">
        <f t="shared" si="260"/>
        <v>4.7278979038550543E-2</v>
      </c>
      <c r="W315" s="160">
        <f t="shared" si="260"/>
        <v>2.5021266942664357E-2</v>
      </c>
      <c r="X315" s="160">
        <f t="shared" si="260"/>
        <v>3.3859019831807148E-2</v>
      </c>
      <c r="Y315" s="160">
        <f t="shared" si="260"/>
        <v>-0.11330228816701544</v>
      </c>
      <c r="Z315" s="98">
        <f t="shared" si="260"/>
        <v>-9.5945911293838296E-3</v>
      </c>
      <c r="AA315" s="160">
        <f t="shared" si="260"/>
        <v>-0.10974129074437287</v>
      </c>
      <c r="AB315" s="160">
        <f t="shared" si="260"/>
        <v>-0.25447698706057048</v>
      </c>
      <c r="AC315" s="160">
        <f t="shared" si="260"/>
        <v>-0.20743983357488638</v>
      </c>
      <c r="AD315" s="160">
        <f t="shared" si="260"/>
        <v>-0.30747837801240907</v>
      </c>
      <c r="AE315" s="98">
        <f t="shared" si="260"/>
        <v>-0.22756733271073779</v>
      </c>
      <c r="AF315" s="160">
        <f t="shared" si="260"/>
        <v>-0.44628566656036939</v>
      </c>
      <c r="AG315" s="160">
        <f t="shared" si="260"/>
        <v>-0.43026260263120886</v>
      </c>
      <c r="AH315" s="160">
        <f t="shared" si="260"/>
        <v>-0.36362577758710518</v>
      </c>
      <c r="AI315" s="160">
        <f t="shared" si="260"/>
        <v>-0.25766769523888433</v>
      </c>
      <c r="AJ315" s="98">
        <f t="shared" ref="AJ315:BG315" si="261">AJ191</f>
        <v>-0.35176030037935629</v>
      </c>
      <c r="AK315" s="160">
        <f t="shared" si="261"/>
        <v>-0.390697079981012</v>
      </c>
      <c r="AL315" s="160">
        <f t="shared" si="261"/>
        <v>-0.22797519001651043</v>
      </c>
      <c r="AM315" s="160">
        <f t="shared" si="261"/>
        <v>-0.21715328467153286</v>
      </c>
      <c r="AN315" s="160">
        <f t="shared" si="261"/>
        <v>-0.16287831111126377</v>
      </c>
      <c r="AO315" s="98">
        <f t="shared" si="261"/>
        <v>-0.24438454627133874</v>
      </c>
      <c r="AP315" s="160">
        <f t="shared" si="261"/>
        <v>-0.15714285714285714</v>
      </c>
      <c r="AQ315" s="160">
        <f t="shared" si="261"/>
        <v>-0.14579055441478439</v>
      </c>
      <c r="AR315" s="160">
        <f t="shared" si="261"/>
        <v>-0.10843373493975904</v>
      </c>
      <c r="AS315" s="160">
        <f t="shared" si="261"/>
        <v>-0.21091445427728614</v>
      </c>
      <c r="AT315" s="98">
        <f t="shared" si="261"/>
        <v>-0.15828274067649609</v>
      </c>
      <c r="AU315" s="160">
        <f t="shared" si="261"/>
        <v>-7.7267637178051518E-2</v>
      </c>
      <c r="AV315" s="160">
        <f t="shared" si="261"/>
        <v>-3.6803364879074658E-2</v>
      </c>
      <c r="AW315" s="731">
        <f t="shared" si="261"/>
        <v>-1.7897091722595078E-2</v>
      </c>
      <c r="AX315" s="160">
        <f t="shared" si="261"/>
        <v>-3.0914454277286146E-2</v>
      </c>
      <c r="AY315" s="98">
        <f t="shared" si="261"/>
        <v>-4.0268873672289762E-2</v>
      </c>
      <c r="AZ315" s="160">
        <f t="shared" si="261"/>
        <v>-2.2267637178051518E-2</v>
      </c>
      <c r="BA315" s="160">
        <f t="shared" si="261"/>
        <v>-2.1803364879074659E-2</v>
      </c>
      <c r="BB315" s="160">
        <f t="shared" si="261"/>
        <v>-2.2897091722595079E-2</v>
      </c>
      <c r="BC315" s="160">
        <f t="shared" si="261"/>
        <v>-2.0914454277286144E-2</v>
      </c>
      <c r="BD315" s="98">
        <f t="shared" si="261"/>
        <v>-2.1914756776560625E-2</v>
      </c>
      <c r="BE315" s="98">
        <f t="shared" si="261"/>
        <v>-1.6914756776560624E-2</v>
      </c>
      <c r="BF315" s="98">
        <f t="shared" si="261"/>
        <v>-1.4914756776560624E-2</v>
      </c>
      <c r="BG315" s="98">
        <f t="shared" si="261"/>
        <v>-1.2914756776560624E-2</v>
      </c>
      <c r="BH315" s="1005"/>
    </row>
    <row r="316" spans="1:60" s="907" customFormat="1" hidden="1" outlineLevel="1" x14ac:dyDescent="0.25">
      <c r="A316" s="906" t="s">
        <v>743</v>
      </c>
      <c r="B316" s="235"/>
      <c r="C316" s="98"/>
      <c r="D316" s="98"/>
      <c r="E316" s="98"/>
      <c r="F316" s="98"/>
      <c r="G316" s="160"/>
      <c r="H316" s="160"/>
      <c r="I316" s="160"/>
      <c r="J316" s="160"/>
      <c r="K316" s="98"/>
      <c r="L316" s="160"/>
      <c r="M316" s="160"/>
      <c r="N316" s="160"/>
      <c r="O316" s="160"/>
      <c r="P316" s="98"/>
      <c r="Q316" s="160"/>
      <c r="R316" s="160"/>
      <c r="S316" s="160"/>
      <c r="T316" s="160"/>
      <c r="U316" s="98"/>
      <c r="V316" s="160"/>
      <c r="W316" s="160"/>
      <c r="X316" s="160"/>
      <c r="Y316" s="160">
        <f t="shared" ref="Y316:BG316" si="262">Y218</f>
        <v>2.7446055485786009E-2</v>
      </c>
      <c r="Z316" s="98">
        <f t="shared" si="262"/>
        <v>1.6880381931045192E-2</v>
      </c>
      <c r="AA316" s="160">
        <f t="shared" si="262"/>
        <v>0.29059473507085964</v>
      </c>
      <c r="AB316" s="160">
        <f t="shared" si="262"/>
        <v>0.28948322756119665</v>
      </c>
      <c r="AC316" s="160">
        <f t="shared" si="262"/>
        <v>0.25264798979543623</v>
      </c>
      <c r="AD316" s="160">
        <f t="shared" si="262"/>
        <v>5.4765012397789546E-2</v>
      </c>
      <c r="AE316" s="98">
        <f t="shared" si="262"/>
        <v>0.21655053544585257</v>
      </c>
      <c r="AF316" s="160">
        <f t="shared" si="262"/>
        <v>8.452961060626013E-2</v>
      </c>
      <c r="AG316" s="160">
        <f t="shared" si="262"/>
        <v>0.11787942565329798</v>
      </c>
      <c r="AH316" s="160">
        <f t="shared" si="262"/>
        <v>0.17220153411950914</v>
      </c>
      <c r="AI316" s="160">
        <f t="shared" si="262"/>
        <v>0.11518531778183927</v>
      </c>
      <c r="AJ316" s="98">
        <f t="shared" si="262"/>
        <v>0.1223910846143756</v>
      </c>
      <c r="AK316" s="160">
        <f t="shared" si="262"/>
        <v>2.3944976452361082E-2</v>
      </c>
      <c r="AL316" s="160">
        <f t="shared" si="262"/>
        <v>0.11592632425151003</v>
      </c>
      <c r="AM316" s="160">
        <f t="shared" si="262"/>
        <v>0.21890547263681592</v>
      </c>
      <c r="AN316" s="160">
        <f t="shared" si="262"/>
        <v>0.11817779520373453</v>
      </c>
      <c r="AO316" s="98">
        <f t="shared" si="262"/>
        <v>0.12410189418680601</v>
      </c>
      <c r="AP316" s="160">
        <f t="shared" si="262"/>
        <v>3.7542662116040959E-2</v>
      </c>
      <c r="AQ316" s="160">
        <f t="shared" si="262"/>
        <v>5.675675675675676E-2</v>
      </c>
      <c r="AR316" s="160">
        <f t="shared" si="262"/>
        <v>3.6269430051813469E-2</v>
      </c>
      <c r="AS316" s="160">
        <f t="shared" si="262"/>
        <v>-4.6542553191489359E-2</v>
      </c>
      <c r="AT316" s="98">
        <f t="shared" si="262"/>
        <v>9.0270812437311942E-3</v>
      </c>
      <c r="AU316" s="160">
        <f t="shared" si="262"/>
        <v>-0.20445344129554655</v>
      </c>
      <c r="AV316" s="160">
        <f t="shared" si="262"/>
        <v>2.4968789013732832E-2</v>
      </c>
      <c r="AW316" s="731">
        <f t="shared" si="262"/>
        <v>3.7220843672456576E-3</v>
      </c>
      <c r="AX316" s="160">
        <f t="shared" si="262"/>
        <v>1.3457446808510638E-2</v>
      </c>
      <c r="AY316" s="98">
        <f t="shared" si="262"/>
        <v>-2.1069269428258344E-2</v>
      </c>
      <c r="AZ316" s="160">
        <f t="shared" si="262"/>
        <v>1.5546558704453456E-2</v>
      </c>
      <c r="BA316" s="160">
        <f t="shared" si="262"/>
        <v>9.968789013732833E-3</v>
      </c>
      <c r="BB316" s="160">
        <f t="shared" si="262"/>
        <v>8.7220843672456572E-3</v>
      </c>
      <c r="BC316" s="160">
        <f t="shared" si="262"/>
        <v>1.2457446808510637E-2</v>
      </c>
      <c r="BD316" s="98">
        <f t="shared" si="262"/>
        <v>1.1347371223152075E-2</v>
      </c>
      <c r="BE316" s="98">
        <f t="shared" si="262"/>
        <v>1.6347371223152076E-2</v>
      </c>
      <c r="BF316" s="98">
        <f t="shared" si="262"/>
        <v>1.8347371223152074E-2</v>
      </c>
      <c r="BG316" s="98">
        <f t="shared" si="262"/>
        <v>2.0347371223152076E-2</v>
      </c>
      <c r="BH316" s="1005"/>
    </row>
    <row r="317" spans="1:60" s="187" customFormat="1" hidden="1" outlineLevel="1" x14ac:dyDescent="0.25">
      <c r="A317" s="188" t="s">
        <v>80</v>
      </c>
      <c r="B317" s="189"/>
      <c r="C317" s="43">
        <f t="shared" ref="C317:AH317" si="263">1-C312</f>
        <v>8.5177277721697586E-2</v>
      </c>
      <c r="D317" s="43">
        <f t="shared" si="263"/>
        <v>0.26323408483519495</v>
      </c>
      <c r="E317" s="43">
        <f t="shared" si="263"/>
        <v>0.30157851959929893</v>
      </c>
      <c r="F317" s="43">
        <f t="shared" si="263"/>
        <v>7.2756354414696967E-2</v>
      </c>
      <c r="G317" s="42">
        <f t="shared" si="263"/>
        <v>0.17145135566188208</v>
      </c>
      <c r="H317" s="42">
        <f t="shared" si="263"/>
        <v>0.24802104956570459</v>
      </c>
      <c r="I317" s="42">
        <f t="shared" si="263"/>
        <v>0.23848140471918133</v>
      </c>
      <c r="J317" s="42">
        <f t="shared" si="263"/>
        <v>0.25452887508350697</v>
      </c>
      <c r="K317" s="43">
        <f t="shared" si="263"/>
        <v>0.22660189044328871</v>
      </c>
      <c r="L317" s="42">
        <f t="shared" si="263"/>
        <v>0.24998791379149188</v>
      </c>
      <c r="M317" s="42">
        <f t="shared" si="263"/>
        <v>0.27685094800929089</v>
      </c>
      <c r="N317" s="42">
        <f t="shared" si="263"/>
        <v>0.29566778272936023</v>
      </c>
      <c r="O317" s="42">
        <f t="shared" si="263"/>
        <v>0.27355249142590732</v>
      </c>
      <c r="P317" s="43">
        <f t="shared" si="263"/>
        <v>0.27566380978227567</v>
      </c>
      <c r="Q317" s="42">
        <f t="shared" si="263"/>
        <v>0.27670872877388608</v>
      </c>
      <c r="R317" s="42">
        <f t="shared" si="263"/>
        <v>0.22342969875682739</v>
      </c>
      <c r="S317" s="42">
        <f t="shared" si="263"/>
        <v>0.24711647980495077</v>
      </c>
      <c r="T317" s="42">
        <f t="shared" si="263"/>
        <v>0.17997990744248094</v>
      </c>
      <c r="U317" s="43">
        <f t="shared" si="263"/>
        <v>0.22824945471172331</v>
      </c>
      <c r="V317" s="42">
        <f t="shared" si="263"/>
        <v>0.22010238455583375</v>
      </c>
      <c r="W317" s="42">
        <f t="shared" si="263"/>
        <v>0.21635615901204475</v>
      </c>
      <c r="X317" s="42">
        <f t="shared" si="263"/>
        <v>0.27702968453330867</v>
      </c>
      <c r="Y317" s="42">
        <f t="shared" si="263"/>
        <v>0.19052442166809425</v>
      </c>
      <c r="Z317" s="43">
        <f t="shared" si="263"/>
        <v>0.22846097759299389</v>
      </c>
      <c r="AA317" s="42">
        <f t="shared" si="263"/>
        <v>0.24772964131930408</v>
      </c>
      <c r="AB317" s="42">
        <f t="shared" si="263"/>
        <v>0.23896805119952735</v>
      </c>
      <c r="AC317" s="42">
        <f t="shared" si="263"/>
        <v>0.15048204578387947</v>
      </c>
      <c r="AD317" s="42">
        <f t="shared" si="263"/>
        <v>0.13344062447825555</v>
      </c>
      <c r="AE317" s="43">
        <f t="shared" si="263"/>
        <v>0.18900706376042842</v>
      </c>
      <c r="AF317" s="42">
        <f t="shared" si="263"/>
        <v>0.13392764681257152</v>
      </c>
      <c r="AG317" s="42">
        <f t="shared" si="263"/>
        <v>0.15464624605626187</v>
      </c>
      <c r="AH317" s="42">
        <f t="shared" si="263"/>
        <v>0.22326682162993361</v>
      </c>
      <c r="AI317" s="42">
        <f t="shared" ref="AI317:AQ317" si="264">1-AI312</f>
        <v>0.19968521450626109</v>
      </c>
      <c r="AJ317" s="43">
        <f t="shared" si="264"/>
        <v>0.1883402695497769</v>
      </c>
      <c r="AK317" s="42">
        <f t="shared" si="264"/>
        <v>0.12457282497450162</v>
      </c>
      <c r="AL317" s="42">
        <f t="shared" si="264"/>
        <v>0.14505401535448414</v>
      </c>
      <c r="AM317" s="42">
        <f t="shared" si="264"/>
        <v>0.18895763921941933</v>
      </c>
      <c r="AN317" s="42">
        <f t="shared" si="264"/>
        <v>0.18841242927141078</v>
      </c>
      <c r="AO317" s="43">
        <f t="shared" si="264"/>
        <v>0.16555456098950283</v>
      </c>
      <c r="AP317" s="42">
        <f t="shared" si="264"/>
        <v>0.20618212197159569</v>
      </c>
      <c r="AQ317" s="42">
        <f t="shared" si="264"/>
        <v>0.20990722332670642</v>
      </c>
      <c r="AR317" s="42">
        <f>1-AR312</f>
        <v>0.23520693193478504</v>
      </c>
      <c r="AS317" s="42">
        <f>1-AS312</f>
        <v>0.19229337304542071</v>
      </c>
      <c r="AT317" s="43">
        <f>1-AT312</f>
        <v>0.2102359208523592</v>
      </c>
      <c r="AU317" s="42">
        <f>1-AU312</f>
        <v>0.21320627586870733</v>
      </c>
      <c r="AV317" s="42">
        <f>1-AV312</f>
        <v>0.24117745442381666</v>
      </c>
      <c r="AW317" s="917">
        <f t="shared" ref="AW317:BG317" si="265">1-AW312</f>
        <v>0.26604637639020134</v>
      </c>
      <c r="AX317" s="27">
        <f t="shared" si="265"/>
        <v>0.27572111311665404</v>
      </c>
      <c r="AY317" s="26">
        <f t="shared" si="265"/>
        <v>0.2531632594179799</v>
      </c>
      <c r="AZ317" s="27">
        <f t="shared" si="265"/>
        <v>0.2784023969839643</v>
      </c>
      <c r="BA317" s="27">
        <f t="shared" si="265"/>
        <v>0.27395105672614906</v>
      </c>
      <c r="BB317" s="27">
        <f t="shared" si="265"/>
        <v>0.28193058983796537</v>
      </c>
      <c r="BC317" s="27">
        <f t="shared" si="265"/>
        <v>0.27406568344901705</v>
      </c>
      <c r="BD317" s="26">
        <f t="shared" si="265"/>
        <v>0.27701718037638412</v>
      </c>
      <c r="BE317" s="26">
        <f t="shared" si="265"/>
        <v>0.27632368436708565</v>
      </c>
      <c r="BF317" s="26">
        <f t="shared" si="265"/>
        <v>0.27522698410395641</v>
      </c>
      <c r="BG317" s="26">
        <f t="shared" si="265"/>
        <v>0.27313656872965741</v>
      </c>
      <c r="BH317" s="370"/>
    </row>
    <row r="318" spans="1:60" s="192" customFormat="1" hidden="1" outlineLevel="1" x14ac:dyDescent="0.25">
      <c r="A318" s="226" t="s">
        <v>81</v>
      </c>
      <c r="B318" s="237"/>
      <c r="C318" s="191"/>
      <c r="D318" s="191"/>
      <c r="E318" s="191"/>
      <c r="F318" s="191"/>
      <c r="G318" s="1004"/>
      <c r="H318" s="1004"/>
      <c r="I318" s="1004"/>
      <c r="J318" s="1004"/>
      <c r="K318" s="191"/>
      <c r="L318" s="1004"/>
      <c r="M318" s="1004"/>
      <c r="N318" s="1004"/>
      <c r="O318" s="1004"/>
      <c r="P318" s="191"/>
      <c r="Q318" s="1004"/>
      <c r="R318" s="1004"/>
      <c r="S318" s="1004"/>
      <c r="T318" s="1004"/>
      <c r="U318" s="191"/>
      <c r="V318" s="1004"/>
      <c r="W318" s="190"/>
      <c r="X318" s="190"/>
      <c r="Y318" s="1004"/>
      <c r="Z318" s="191"/>
      <c r="AA318" s="1004"/>
      <c r="AB318" s="190"/>
      <c r="AC318" s="190"/>
      <c r="AD318" s="1004"/>
      <c r="AE318" s="191"/>
      <c r="AF318" s="1004"/>
      <c r="AG318" s="190"/>
      <c r="AH318" s="190"/>
      <c r="AI318" s="1004"/>
      <c r="AJ318" s="191"/>
      <c r="AK318" s="1004"/>
      <c r="AL318" s="190"/>
      <c r="AM318" s="190"/>
      <c r="AN318" s="1004"/>
      <c r="AO318" s="191"/>
      <c r="AP318" s="1004"/>
      <c r="AQ318" s="190"/>
      <c r="AR318" s="190"/>
      <c r="AS318" s="1004"/>
      <c r="AT318" s="191"/>
      <c r="AU318" s="1004"/>
      <c r="AV318" s="190"/>
      <c r="AW318" s="799"/>
      <c r="AX318" s="1004" t="str">
        <f t="shared" ref="AX318:BD318" ca="1" si="266">IFERROR(VLOOKUP($A318,tb_ConsensusEstimate,MATCH(AX$5,OFFSET(tb_ConsensusEstimate,0,0,1,COLUMNS(tb_ConsensusEstimate)),0),FALSE),"-")</f>
        <v>N/A</v>
      </c>
      <c r="AY318" s="250" t="str">
        <f t="shared" ca="1" si="266"/>
        <v>N/A</v>
      </c>
      <c r="AZ318" s="1004" t="str">
        <f t="shared" ca="1" si="266"/>
        <v>N/A</v>
      </c>
      <c r="BA318" s="1004" t="str">
        <f t="shared" ca="1" si="266"/>
        <v>N/A</v>
      </c>
      <c r="BB318" s="1004" t="str">
        <f t="shared" ca="1" si="266"/>
        <v>N/A</v>
      </c>
      <c r="BC318" s="1004" t="str">
        <f t="shared" ca="1" si="266"/>
        <v>N/A</v>
      </c>
      <c r="BD318" s="250" t="str">
        <f t="shared" ca="1" si="266"/>
        <v>N/A</v>
      </c>
      <c r="BE318" s="250" t="str">
        <f ca="1">IFERROR(VLOOKUP(A318,tb_ConsensusEstimate,MATCH(BE5,OFFSET(tb_ConsensusEstimate,0,0,1,COLUMNS(tb_ConsensusEstimate)),0),FALSE),"-")</f>
        <v>N/A</v>
      </c>
      <c r="BF318" s="250" t="str">
        <f ca="1">IFERROR(VLOOKUP(A318,tb_ConsensusEstimate,MATCH(BF5,OFFSET(tb_ConsensusEstimate,0,0,1,COLUMNS(tb_ConsensusEstimate)),0),FALSE),"-")</f>
        <v>N/A</v>
      </c>
      <c r="BG318" s="250" t="str">
        <f ca="1">IFERROR(VLOOKUP(A318,tb_ConsensusEstimate,MATCH(BG5,OFFSET(tb_ConsensusEstimate,0,0,1,COLUMNS(tb_ConsensusEstimate)),0),FALSE),"-")</f>
        <v>N/A</v>
      </c>
      <c r="BH318" s="1004"/>
    </row>
    <row r="319" spans="1:60" s="114" customFormat="1" hidden="1" outlineLevel="1" x14ac:dyDescent="0.25">
      <c r="A319" s="225"/>
      <c r="B319" s="236"/>
      <c r="C319" s="186"/>
      <c r="D319" s="186"/>
      <c r="E319" s="186"/>
      <c r="F319" s="186"/>
      <c r="G319" s="185"/>
      <c r="H319" s="185"/>
      <c r="I319" s="185"/>
      <c r="J319" s="185"/>
      <c r="K319" s="186"/>
      <c r="L319" s="185"/>
      <c r="M319" s="185"/>
      <c r="N319" s="185"/>
      <c r="O319" s="185"/>
      <c r="P319" s="186"/>
      <c r="Q319" s="185"/>
      <c r="R319" s="185"/>
      <c r="S319" s="185"/>
      <c r="T319" s="185"/>
      <c r="U319" s="186"/>
      <c r="V319" s="185"/>
      <c r="W319" s="185"/>
      <c r="X319" s="185"/>
      <c r="Y319" s="185"/>
      <c r="Z319" s="186"/>
      <c r="AA319" s="185"/>
      <c r="AB319" s="185"/>
      <c r="AC319" s="185"/>
      <c r="AD319" s="185"/>
      <c r="AE319" s="186"/>
      <c r="AF319" s="185"/>
      <c r="AG319" s="185"/>
      <c r="AH319" s="185"/>
      <c r="AI319" s="185"/>
      <c r="AJ319" s="186"/>
      <c r="AK319" s="185"/>
      <c r="AL319" s="185"/>
      <c r="AM319" s="185"/>
      <c r="AN319" s="185"/>
      <c r="AO319" s="186"/>
      <c r="AP319" s="185"/>
      <c r="AQ319" s="185"/>
      <c r="AR319" s="185"/>
      <c r="AS319" s="185"/>
      <c r="AT319" s="186"/>
      <c r="AU319" s="185"/>
      <c r="AV319" s="185"/>
      <c r="AW319" s="722"/>
      <c r="AX319" s="185"/>
      <c r="AY319" s="186"/>
      <c r="AZ319" s="185"/>
      <c r="BA319" s="185"/>
      <c r="BB319" s="185"/>
      <c r="BC319" s="185"/>
      <c r="BD319" s="186"/>
      <c r="BE319" s="186"/>
      <c r="BF319" s="186"/>
      <c r="BG319" s="186"/>
      <c r="BH319" s="365"/>
    </row>
    <row r="320" spans="1:60" s="121" customFormat="1" hidden="1" outlineLevel="1" x14ac:dyDescent="0.25">
      <c r="A320" s="154" t="s">
        <v>82</v>
      </c>
      <c r="B320" s="236"/>
      <c r="C320" s="155">
        <f t="shared" ref="C320:AQ320" si="267">C387/C$381</f>
        <v>0.37653091305396497</v>
      </c>
      <c r="D320" s="155">
        <f t="shared" si="267"/>
        <v>0.72443123415336119</v>
      </c>
      <c r="E320" s="155">
        <f t="shared" si="267"/>
        <v>0.50969927830710626</v>
      </c>
      <c r="F320" s="155">
        <f t="shared" si="267"/>
        <v>0.36387130495383008</v>
      </c>
      <c r="G320" s="156">
        <f t="shared" si="267"/>
        <v>8.3740957507404873E-2</v>
      </c>
      <c r="H320" s="156">
        <f t="shared" si="267"/>
        <v>0.14800599300486994</v>
      </c>
      <c r="I320" s="156">
        <f t="shared" si="267"/>
        <v>0.17867558757934465</v>
      </c>
      <c r="J320" s="156">
        <f t="shared" si="267"/>
        <v>0.16496564637958194</v>
      </c>
      <c r="K320" s="155">
        <f t="shared" si="267"/>
        <v>0.14182744837834294</v>
      </c>
      <c r="L320" s="156">
        <f t="shared" si="267"/>
        <v>0.18943278617724504</v>
      </c>
      <c r="M320" s="156">
        <f t="shared" si="267"/>
        <v>0.17421352338145629</v>
      </c>
      <c r="N320" s="156">
        <f t="shared" si="267"/>
        <v>0.18209235927513842</v>
      </c>
      <c r="O320" s="156">
        <f t="shared" si="267"/>
        <v>0.20589320563919716</v>
      </c>
      <c r="P320" s="155">
        <f t="shared" si="267"/>
        <v>0.18874071554260999</v>
      </c>
      <c r="Q320" s="156">
        <f t="shared" si="267"/>
        <v>0.2078616419117334</v>
      </c>
      <c r="R320" s="156">
        <f t="shared" si="267"/>
        <v>0.21136237978755487</v>
      </c>
      <c r="S320" s="156">
        <f t="shared" si="267"/>
        <v>0.25231615657314505</v>
      </c>
      <c r="T320" s="156">
        <f t="shared" si="267"/>
        <v>0.23769660238146212</v>
      </c>
      <c r="U320" s="155">
        <f t="shared" si="267"/>
        <v>0.22793531923307442</v>
      </c>
      <c r="V320" s="156">
        <f t="shared" si="267"/>
        <v>0.27741646382714585</v>
      </c>
      <c r="W320" s="156">
        <f t="shared" si="267"/>
        <v>0.2528722056476409</v>
      </c>
      <c r="X320" s="156">
        <f t="shared" si="267"/>
        <v>0.1465392118814707</v>
      </c>
      <c r="Y320" s="163">
        <f t="shared" si="267"/>
        <v>0.19960159868267568</v>
      </c>
      <c r="Z320" s="169">
        <f t="shared" si="267"/>
        <v>0.20459457050238483</v>
      </c>
      <c r="AA320" s="163">
        <f t="shared" si="267"/>
        <v>0.22381104266264137</v>
      </c>
      <c r="AB320" s="156">
        <f t="shared" si="267"/>
        <v>0.19277505353000493</v>
      </c>
      <c r="AC320" s="156">
        <f t="shared" si="267"/>
        <v>0.2187836196570816</v>
      </c>
      <c r="AD320" s="163">
        <f t="shared" si="267"/>
        <v>0.20749341062675</v>
      </c>
      <c r="AE320" s="169">
        <f t="shared" si="267"/>
        <v>0.21060910295659802</v>
      </c>
      <c r="AF320" s="163">
        <f t="shared" si="267"/>
        <v>0.20136525079127224</v>
      </c>
      <c r="AG320" s="156">
        <f t="shared" si="267"/>
        <v>0.18758512439686767</v>
      </c>
      <c r="AH320" s="156">
        <f t="shared" si="267"/>
        <v>0.10695073700844306</v>
      </c>
      <c r="AI320" s="163">
        <f t="shared" si="267"/>
        <v>9.2369738576916618E-2</v>
      </c>
      <c r="AJ320" s="169">
        <f t="shared" si="267"/>
        <v>0.13207472177319626</v>
      </c>
      <c r="AK320" s="163">
        <f t="shared" si="267"/>
        <v>0.1550004580020892</v>
      </c>
      <c r="AL320" s="156">
        <f t="shared" si="267"/>
        <v>0.10193606728910262</v>
      </c>
      <c r="AM320" s="156">
        <f t="shared" si="267"/>
        <v>9.4558146914167862E-2</v>
      </c>
      <c r="AN320" s="163">
        <f t="shared" si="267"/>
        <v>9.4640201737302712E-2</v>
      </c>
      <c r="AO320" s="169">
        <f t="shared" si="267"/>
        <v>0.10765725445520384</v>
      </c>
      <c r="AP320" s="163">
        <f t="shared" si="267"/>
        <v>0.10476190476190476</v>
      </c>
      <c r="AQ320" s="156">
        <f t="shared" si="267"/>
        <v>0.10950960901259112</v>
      </c>
      <c r="AR320" s="156">
        <f t="shared" ref="AR320:AU321" si="268">AR387/AR$381</f>
        <v>0.10124273172956333</v>
      </c>
      <c r="AS320" s="163">
        <f t="shared" si="268"/>
        <v>9.0189873417721514E-2</v>
      </c>
      <c r="AT320" s="169">
        <f t="shared" si="268"/>
        <v>9.9727295788939629E-2</v>
      </c>
      <c r="AU320" s="163">
        <f t="shared" si="268"/>
        <v>0.10164597170083742</v>
      </c>
      <c r="AV320" s="156">
        <f>AV387/AV$381</f>
        <v>8.1368121759491555E-2</v>
      </c>
      <c r="AW320" s="945">
        <f t="shared" ref="AW320:BG320" si="269">AW387/AW$381</f>
        <v>7.2254125172639377E-2</v>
      </c>
      <c r="AX320" s="163">
        <f t="shared" si="269"/>
        <v>8.5189873417721509E-2</v>
      </c>
      <c r="AY320" s="169">
        <f t="shared" si="269"/>
        <v>8.4195681782130813E-2</v>
      </c>
      <c r="AZ320" s="163">
        <f t="shared" si="269"/>
        <v>8.1645971700837414E-2</v>
      </c>
      <c r="BA320" s="163">
        <f t="shared" si="269"/>
        <v>8.3368121759491556E-2</v>
      </c>
      <c r="BB320" s="163">
        <f t="shared" si="269"/>
        <v>8.2254125172639372E-2</v>
      </c>
      <c r="BC320" s="163">
        <f t="shared" si="269"/>
        <v>8.7189873417721511E-2</v>
      </c>
      <c r="BD320" s="169">
        <f t="shared" si="269"/>
        <v>8.3907483915351008E-2</v>
      </c>
      <c r="BE320" s="169">
        <f t="shared" si="269"/>
        <v>8.2907483915351007E-2</v>
      </c>
      <c r="BF320" s="169">
        <f t="shared" si="269"/>
        <v>8.1907483915351006E-2</v>
      </c>
      <c r="BG320" s="169">
        <f t="shared" si="269"/>
        <v>8.0907483915351006E-2</v>
      </c>
      <c r="BH320" s="371"/>
    </row>
    <row r="321" spans="1:60" s="121" customFormat="1" hidden="1" outlineLevel="1" x14ac:dyDescent="0.25">
      <c r="A321" s="154" t="s">
        <v>83</v>
      </c>
      <c r="B321" s="236"/>
      <c r="C321" s="155">
        <f t="shared" ref="C321:AQ321" si="270">C388/C$381</f>
        <v>0.17224837640584942</v>
      </c>
      <c r="D321" s="155">
        <f t="shared" si="270"/>
        <v>0.79658055231960523</v>
      </c>
      <c r="E321" s="155">
        <f t="shared" si="270"/>
        <v>1.0232028671869644</v>
      </c>
      <c r="F321" s="155">
        <f t="shared" si="270"/>
        <v>0.66297404030431495</v>
      </c>
      <c r="G321" s="156">
        <f t="shared" si="270"/>
        <v>9.7650019936204147E-2</v>
      </c>
      <c r="H321" s="156">
        <f t="shared" si="270"/>
        <v>0.12912111645632732</v>
      </c>
      <c r="I321" s="156">
        <f t="shared" si="270"/>
        <v>0.1306399039286327</v>
      </c>
      <c r="J321" s="156">
        <f t="shared" si="270"/>
        <v>0.11126769491839492</v>
      </c>
      <c r="K321" s="155">
        <f t="shared" si="270"/>
        <v>0.11521055914687688</v>
      </c>
      <c r="L321" s="156">
        <f t="shared" si="270"/>
        <v>0.13140770487734915</v>
      </c>
      <c r="M321" s="156">
        <f t="shared" si="270"/>
        <v>0.14001058037379654</v>
      </c>
      <c r="N321" s="156">
        <f t="shared" si="270"/>
        <v>0.15951204737240021</v>
      </c>
      <c r="O321" s="156">
        <f t="shared" si="270"/>
        <v>0.14588762372460046</v>
      </c>
      <c r="P321" s="155">
        <f t="shared" si="270"/>
        <v>0.14529339448141482</v>
      </c>
      <c r="Q321" s="156">
        <f t="shared" si="270"/>
        <v>0.17784610801378897</v>
      </c>
      <c r="R321" s="156">
        <f t="shared" si="270"/>
        <v>0.19027912743356901</v>
      </c>
      <c r="S321" s="156">
        <f t="shared" si="270"/>
        <v>0.19085514454162036</v>
      </c>
      <c r="T321" s="156">
        <f t="shared" si="270"/>
        <v>0.15665854180734201</v>
      </c>
      <c r="U321" s="155">
        <f t="shared" si="270"/>
        <v>0.17743340686229075</v>
      </c>
      <c r="V321" s="156">
        <f t="shared" si="270"/>
        <v>0.15908837293644207</v>
      </c>
      <c r="W321" s="156">
        <f t="shared" si="270"/>
        <v>0.15091451531751149</v>
      </c>
      <c r="X321" s="156">
        <f t="shared" si="270"/>
        <v>9.3238184574206115E-2</v>
      </c>
      <c r="Y321" s="163">
        <f t="shared" si="270"/>
        <v>0.10765852341143932</v>
      </c>
      <c r="Z321" s="169">
        <f t="shared" si="270"/>
        <v>0.11919889510654944</v>
      </c>
      <c r="AA321" s="163">
        <f t="shared" si="270"/>
        <v>0.11943907694704166</v>
      </c>
      <c r="AB321" s="156">
        <f t="shared" si="270"/>
        <v>0.13255653137756282</v>
      </c>
      <c r="AC321" s="156">
        <f t="shared" si="270"/>
        <v>0.11110824461624799</v>
      </c>
      <c r="AD321" s="163">
        <f t="shared" si="270"/>
        <v>0.10784980091227887</v>
      </c>
      <c r="AE321" s="169">
        <f t="shared" si="270"/>
        <v>0.11719552527304984</v>
      </c>
      <c r="AF321" s="163">
        <f t="shared" si="270"/>
        <v>0.10769223096670894</v>
      </c>
      <c r="AG321" s="156">
        <f t="shared" si="270"/>
        <v>9.6478439150563797E-2</v>
      </c>
      <c r="AH321" s="156">
        <f t="shared" si="270"/>
        <v>5.1410722065033283E-2</v>
      </c>
      <c r="AI321" s="163">
        <f t="shared" si="270"/>
        <v>4.9308505698896145E-2</v>
      </c>
      <c r="AJ321" s="169">
        <f t="shared" si="270"/>
        <v>6.8046771514152837E-2</v>
      </c>
      <c r="AK321" s="163">
        <f t="shared" si="270"/>
        <v>7.4904039754581334E-2</v>
      </c>
      <c r="AL321" s="156">
        <f t="shared" si="270"/>
        <v>5.1010161778333264E-2</v>
      </c>
      <c r="AM321" s="156">
        <f t="shared" si="270"/>
        <v>5.2990639378073932E-2</v>
      </c>
      <c r="AN321" s="163">
        <f t="shared" si="270"/>
        <v>4.6713778430251929E-2</v>
      </c>
      <c r="AO321" s="169">
        <f t="shared" si="270"/>
        <v>5.4642363088941333E-2</v>
      </c>
      <c r="AP321" s="163">
        <f t="shared" si="270"/>
        <v>5.4135338345864661E-2</v>
      </c>
      <c r="AQ321" s="156">
        <f t="shared" si="270"/>
        <v>4.6222664015904573E-2</v>
      </c>
      <c r="AR321" s="156">
        <f t="shared" si="268"/>
        <v>4.1728423212860563E-2</v>
      </c>
      <c r="AS321" s="163">
        <f t="shared" si="268"/>
        <v>4.8585256887565154E-2</v>
      </c>
      <c r="AT321" s="169">
        <f t="shared" si="268"/>
        <v>4.7279299847792999E-2</v>
      </c>
      <c r="AU321" s="163">
        <f t="shared" si="268"/>
        <v>6.410626624314178E-2</v>
      </c>
      <c r="AV321" s="156">
        <f>AV388/AV$381</f>
        <v>4.8168590065228299E-2</v>
      </c>
      <c r="AW321" s="945">
        <f t="shared" ref="AW321:BG321" si="271">AW388/AW$381</f>
        <v>4.4413752998473506E-2</v>
      </c>
      <c r="AX321" s="163">
        <f t="shared" si="271"/>
        <v>5.3585256887565151E-2</v>
      </c>
      <c r="AY321" s="169">
        <f t="shared" si="271"/>
        <v>5.204492829760296E-2</v>
      </c>
      <c r="AZ321" s="163">
        <f t="shared" si="271"/>
        <v>4.910626624314178E-2</v>
      </c>
      <c r="BA321" s="163">
        <f t="shared" si="271"/>
        <v>4.7168590065228298E-2</v>
      </c>
      <c r="BB321" s="163">
        <f t="shared" si="271"/>
        <v>4.2413752998473504E-2</v>
      </c>
      <c r="BC321" s="163">
        <f t="shared" si="271"/>
        <v>5.0585256887565148E-2</v>
      </c>
      <c r="BD321" s="169">
        <f t="shared" si="271"/>
        <v>4.7298655766652424E-2</v>
      </c>
      <c r="BE321" s="169">
        <f t="shared" si="271"/>
        <v>4.6298655766652423E-2</v>
      </c>
      <c r="BF321" s="169">
        <f t="shared" si="271"/>
        <v>4.5298655766652422E-2</v>
      </c>
      <c r="BG321" s="169">
        <f t="shared" si="271"/>
        <v>4.4298655766652421E-2</v>
      </c>
      <c r="BH321" s="371"/>
    </row>
    <row r="322" spans="1:60" s="120" customFormat="1" hidden="1" outlineLevel="1" x14ac:dyDescent="0.25">
      <c r="A322" s="38" t="s">
        <v>744</v>
      </c>
      <c r="B322" s="189"/>
      <c r="C322" s="26">
        <f t="shared" ref="C322:AH322" si="272">C390/C381</f>
        <v>-0.46360201173811677</v>
      </c>
      <c r="D322" s="26">
        <f t="shared" si="272"/>
        <v>-1.2577777016377716</v>
      </c>
      <c r="E322" s="26">
        <f t="shared" si="272"/>
        <v>-1.2313236258947715</v>
      </c>
      <c r="F322" s="26">
        <f t="shared" si="272"/>
        <v>-0.95408899084344811</v>
      </c>
      <c r="G322" s="27">
        <f t="shared" si="272"/>
        <v>-9.939621781726948E-3</v>
      </c>
      <c r="H322" s="27">
        <f t="shared" si="272"/>
        <v>-2.9106059895492663E-2</v>
      </c>
      <c r="I322" s="27">
        <f t="shared" si="272"/>
        <v>-7.0834086788796005E-2</v>
      </c>
      <c r="J322" s="27">
        <f t="shared" si="272"/>
        <v>-2.1704466214469888E-2</v>
      </c>
      <c r="K322" s="26">
        <f t="shared" si="272"/>
        <v>-3.0436117081931079E-2</v>
      </c>
      <c r="L322" s="27">
        <f t="shared" si="272"/>
        <v>-7.0852577263102276E-2</v>
      </c>
      <c r="M322" s="27">
        <f t="shared" si="272"/>
        <v>-3.7373155745961978E-2</v>
      </c>
      <c r="N322" s="27">
        <f t="shared" si="272"/>
        <v>-4.5936623918178383E-2</v>
      </c>
      <c r="O322" s="27">
        <f t="shared" si="272"/>
        <v>-7.8228337937890316E-2</v>
      </c>
      <c r="P322" s="26">
        <f t="shared" si="272"/>
        <v>-5.8370300241749079E-2</v>
      </c>
      <c r="Q322" s="27">
        <f t="shared" si="272"/>
        <v>-0.10899902115163627</v>
      </c>
      <c r="R322" s="27">
        <f t="shared" si="272"/>
        <v>-0.17821180846429646</v>
      </c>
      <c r="S322" s="27">
        <f t="shared" si="272"/>
        <v>-0.19605482130981475</v>
      </c>
      <c r="T322" s="27">
        <f t="shared" si="272"/>
        <v>-0.21437523674632314</v>
      </c>
      <c r="U322" s="26">
        <f t="shared" si="272"/>
        <v>-0.17711927138364195</v>
      </c>
      <c r="V322" s="27">
        <f t="shared" si="272"/>
        <v>-0.2164024522077542</v>
      </c>
      <c r="W322" s="28">
        <f t="shared" si="272"/>
        <v>-0.18743056195310767</v>
      </c>
      <c r="X322" s="28">
        <f t="shared" si="272"/>
        <v>3.7252288077631805E-2</v>
      </c>
      <c r="Y322" s="27">
        <f t="shared" si="272"/>
        <v>-0.11673570042602076</v>
      </c>
      <c r="Z322" s="26">
        <f t="shared" si="272"/>
        <v>-9.5332488015940367E-2</v>
      </c>
      <c r="AA322" s="27">
        <f t="shared" si="272"/>
        <v>-9.5520478290378921E-2</v>
      </c>
      <c r="AB322" s="28">
        <f t="shared" si="272"/>
        <v>-8.6363533708040452E-2</v>
      </c>
      <c r="AC322" s="28">
        <f t="shared" si="272"/>
        <v>-0.1794098184894502</v>
      </c>
      <c r="AD322" s="27">
        <f t="shared" si="272"/>
        <v>-0.18190258706077334</v>
      </c>
      <c r="AE322" s="26">
        <f t="shared" si="272"/>
        <v>-0.13879756446921951</v>
      </c>
      <c r="AF322" s="27">
        <f t="shared" si="272"/>
        <v>-0.17512983494540968</v>
      </c>
      <c r="AG322" s="28">
        <f t="shared" si="272"/>
        <v>-0.15526140295250351</v>
      </c>
      <c r="AH322" s="28">
        <f t="shared" si="272"/>
        <v>6.1068549045903295E-2</v>
      </c>
      <c r="AI322" s="27">
        <f t="shared" ref="AI322:BG322" si="273">AI390/AI381</f>
        <v>5.7229901494255504E-2</v>
      </c>
      <c r="AJ322" s="26">
        <f t="shared" si="273"/>
        <v>-1.8082482358451488E-2</v>
      </c>
      <c r="AK322" s="27">
        <f t="shared" si="273"/>
        <v>-0.11490369625301447</v>
      </c>
      <c r="AL322" s="28">
        <f t="shared" si="273"/>
        <v>-2.6372684212548885E-2</v>
      </c>
      <c r="AM322" s="28">
        <f t="shared" si="273"/>
        <v>4.1408852927177532E-2</v>
      </c>
      <c r="AN322" s="27">
        <f t="shared" si="273"/>
        <v>4.8658696129124816E-2</v>
      </c>
      <c r="AO322" s="26">
        <f t="shared" si="273"/>
        <v>-2.8073887216209618E-3</v>
      </c>
      <c r="AP322" s="27">
        <f t="shared" si="273"/>
        <v>4.7284878863826235E-2</v>
      </c>
      <c r="AQ322" s="28">
        <f t="shared" si="273"/>
        <v>5.4174950298210733E-2</v>
      </c>
      <c r="AR322" s="28">
        <f t="shared" si="273"/>
        <v>9.2235776992361185E-2</v>
      </c>
      <c r="AS322" s="27">
        <f t="shared" si="273"/>
        <v>5.3518242740134031E-2</v>
      </c>
      <c r="AT322" s="26">
        <f t="shared" si="273"/>
        <v>6.3229325215626589E-2</v>
      </c>
      <c r="AU322" s="27">
        <f t="shared" si="273"/>
        <v>5.7175859081721049E-2</v>
      </c>
      <c r="AV322" s="28">
        <f t="shared" si="273"/>
        <v>0.10971734403746446</v>
      </c>
      <c r="AW322" s="791">
        <f t="shared" si="273"/>
        <v>0.14567129461365122</v>
      </c>
      <c r="AX322" s="42">
        <f t="shared" si="273"/>
        <v>0.13694598281136738</v>
      </c>
      <c r="AY322" s="43">
        <f t="shared" si="273"/>
        <v>0.1174320539769889</v>
      </c>
      <c r="AZ322" s="42">
        <f t="shared" si="273"/>
        <v>0.14765015903998505</v>
      </c>
      <c r="BA322" s="42">
        <f t="shared" si="273"/>
        <v>0.14341434490142921</v>
      </c>
      <c r="BB322" s="42">
        <f t="shared" si="273"/>
        <v>0.15726271166685252</v>
      </c>
      <c r="BC322" s="42">
        <f t="shared" si="273"/>
        <v>0.1362905531437304</v>
      </c>
      <c r="BD322" s="43">
        <f t="shared" si="273"/>
        <v>0.14581104069438069</v>
      </c>
      <c r="BE322" s="43">
        <f t="shared" si="273"/>
        <v>0.14711754468508215</v>
      </c>
      <c r="BF322" s="43">
        <f t="shared" si="273"/>
        <v>0.14802084442195304</v>
      </c>
      <c r="BG322" s="43">
        <f t="shared" si="273"/>
        <v>0.14793042904765399</v>
      </c>
      <c r="BH322" s="365"/>
    </row>
    <row r="323" spans="1:60" s="120" customFormat="1" hidden="1" outlineLevel="1" x14ac:dyDescent="0.25">
      <c r="A323" s="224" t="str">
        <f>CONCATENATE("Adjusted ",A322,IFERROR(" - "&amp;RIGHT(A391,FIND("(",A391)+1),""))</f>
        <v>Adjusted EBIT Margin, % - (No Adjustments)</v>
      </c>
      <c r="B323" s="236"/>
      <c r="C323" s="169">
        <f t="shared" ref="C323:AH323" si="274">C391/C381</f>
        <v>-0.46360201173811677</v>
      </c>
      <c r="D323" s="169">
        <f t="shared" si="274"/>
        <v>-1.2577777016377716</v>
      </c>
      <c r="E323" s="169">
        <f t="shared" si="274"/>
        <v>-1.2313236258947715</v>
      </c>
      <c r="F323" s="169">
        <f t="shared" si="274"/>
        <v>-0.95408899084344811</v>
      </c>
      <c r="G323" s="163">
        <f t="shared" si="274"/>
        <v>-9.939621781726948E-3</v>
      </c>
      <c r="H323" s="163">
        <f t="shared" si="274"/>
        <v>-2.9106059895492663E-2</v>
      </c>
      <c r="I323" s="163">
        <f t="shared" si="274"/>
        <v>-7.0834086788796005E-2</v>
      </c>
      <c r="J323" s="163">
        <f t="shared" si="274"/>
        <v>-2.1704466214469888E-2</v>
      </c>
      <c r="K323" s="169">
        <f t="shared" si="274"/>
        <v>-3.0436117081931079E-2</v>
      </c>
      <c r="L323" s="163">
        <f t="shared" si="274"/>
        <v>-7.0852577263102276E-2</v>
      </c>
      <c r="M323" s="163">
        <f t="shared" si="274"/>
        <v>-3.7373155745961978E-2</v>
      </c>
      <c r="N323" s="163">
        <f t="shared" si="274"/>
        <v>-4.5936623918178383E-2</v>
      </c>
      <c r="O323" s="163">
        <f t="shared" si="274"/>
        <v>-7.8228337937890316E-2</v>
      </c>
      <c r="P323" s="169">
        <f t="shared" si="274"/>
        <v>-5.8370300241749079E-2</v>
      </c>
      <c r="Q323" s="163">
        <f t="shared" si="274"/>
        <v>-0.10899902115163627</v>
      </c>
      <c r="R323" s="163">
        <f t="shared" si="274"/>
        <v>-0.17821180846429646</v>
      </c>
      <c r="S323" s="163">
        <f t="shared" si="274"/>
        <v>-0.19605482130981475</v>
      </c>
      <c r="T323" s="163">
        <f t="shared" si="274"/>
        <v>-0.21437523674632314</v>
      </c>
      <c r="U323" s="169">
        <f t="shared" si="274"/>
        <v>-0.17711927138364195</v>
      </c>
      <c r="V323" s="163">
        <f t="shared" si="274"/>
        <v>-0.2164024522077542</v>
      </c>
      <c r="W323" s="156">
        <f t="shared" si="274"/>
        <v>-0.18743056195310767</v>
      </c>
      <c r="X323" s="156">
        <f t="shared" si="274"/>
        <v>3.7252288077631805E-2</v>
      </c>
      <c r="Y323" s="163">
        <f t="shared" si="274"/>
        <v>-0.11673570042602076</v>
      </c>
      <c r="Z323" s="169">
        <f t="shared" si="274"/>
        <v>-9.5332488015940367E-2</v>
      </c>
      <c r="AA323" s="163">
        <f t="shared" si="274"/>
        <v>-9.5520478290378921E-2</v>
      </c>
      <c r="AB323" s="156">
        <f t="shared" si="274"/>
        <v>-8.6363533708040452E-2</v>
      </c>
      <c r="AC323" s="156">
        <f t="shared" si="274"/>
        <v>-0.1794098184894502</v>
      </c>
      <c r="AD323" s="163">
        <f t="shared" si="274"/>
        <v>-0.18190258706077334</v>
      </c>
      <c r="AE323" s="169">
        <f t="shared" si="274"/>
        <v>-0.13879756446921951</v>
      </c>
      <c r="AF323" s="163">
        <f t="shared" si="274"/>
        <v>-0.17512983494540968</v>
      </c>
      <c r="AG323" s="156">
        <f t="shared" si="274"/>
        <v>-0.15526140295250351</v>
      </c>
      <c r="AH323" s="156">
        <f t="shared" si="274"/>
        <v>6.1068549045903295E-2</v>
      </c>
      <c r="AI323" s="163">
        <f t="shared" ref="AI323:BG323" si="275">AI391/AI381</f>
        <v>5.7229901494255504E-2</v>
      </c>
      <c r="AJ323" s="169">
        <f t="shared" si="275"/>
        <v>-1.8082482358451488E-2</v>
      </c>
      <c r="AK323" s="163">
        <f t="shared" si="275"/>
        <v>-0.11490369625301447</v>
      </c>
      <c r="AL323" s="156">
        <f t="shared" si="275"/>
        <v>-2.6372684212548885E-2</v>
      </c>
      <c r="AM323" s="156">
        <f t="shared" si="275"/>
        <v>4.1408852927177532E-2</v>
      </c>
      <c r="AN323" s="163">
        <f t="shared" si="275"/>
        <v>4.8658696129124816E-2</v>
      </c>
      <c r="AO323" s="169">
        <f t="shared" si="275"/>
        <v>-2.8073887216209618E-3</v>
      </c>
      <c r="AP323" s="163">
        <f t="shared" si="275"/>
        <v>4.7284878863826235E-2</v>
      </c>
      <c r="AQ323" s="156">
        <f t="shared" si="275"/>
        <v>5.4174950298210733E-2</v>
      </c>
      <c r="AR323" s="156">
        <f t="shared" si="275"/>
        <v>9.2235776992361185E-2</v>
      </c>
      <c r="AS323" s="163">
        <f t="shared" si="275"/>
        <v>5.3518242740134031E-2</v>
      </c>
      <c r="AT323" s="169">
        <f t="shared" si="275"/>
        <v>6.3229325215626589E-2</v>
      </c>
      <c r="AU323" s="163">
        <f t="shared" si="275"/>
        <v>5.7175859081721049E-2</v>
      </c>
      <c r="AV323" s="156">
        <f t="shared" si="275"/>
        <v>0.10971734403746446</v>
      </c>
      <c r="AW323" s="800">
        <f t="shared" si="275"/>
        <v>0.14567129461365122</v>
      </c>
      <c r="AX323" s="185">
        <f t="shared" si="275"/>
        <v>0.13694598281136738</v>
      </c>
      <c r="AY323" s="186">
        <f t="shared" si="275"/>
        <v>0.1174320539769889</v>
      </c>
      <c r="AZ323" s="185">
        <f t="shared" si="275"/>
        <v>0.14765015903998505</v>
      </c>
      <c r="BA323" s="185">
        <f t="shared" si="275"/>
        <v>0.14341434490142921</v>
      </c>
      <c r="BB323" s="185">
        <f t="shared" si="275"/>
        <v>0.15726271166685252</v>
      </c>
      <c r="BC323" s="185">
        <f t="shared" si="275"/>
        <v>0.1362905531437304</v>
      </c>
      <c r="BD323" s="186">
        <f t="shared" si="275"/>
        <v>0.14581104069438069</v>
      </c>
      <c r="BE323" s="186">
        <f t="shared" si="275"/>
        <v>0.14711754468508215</v>
      </c>
      <c r="BF323" s="186">
        <f t="shared" si="275"/>
        <v>0.14802084442195304</v>
      </c>
      <c r="BG323" s="186">
        <f t="shared" si="275"/>
        <v>0.14793042904765399</v>
      </c>
      <c r="BH323" s="365"/>
    </row>
    <row r="324" spans="1:60" s="120" customFormat="1" hidden="1" outlineLevel="1" x14ac:dyDescent="0.25">
      <c r="A324" s="372" t="s">
        <v>746</v>
      </c>
      <c r="B324" s="909"/>
      <c r="C324" s="250"/>
      <c r="D324" s="250"/>
      <c r="E324" s="250"/>
      <c r="F324" s="250"/>
      <c r="G324" s="816"/>
      <c r="H324" s="816"/>
      <c r="I324" s="816"/>
      <c r="J324" s="816"/>
      <c r="K324" s="250"/>
      <c r="L324" s="816"/>
      <c r="M324" s="816"/>
      <c r="N324" s="816"/>
      <c r="O324" s="816"/>
      <c r="P324" s="250"/>
      <c r="Q324" s="816"/>
      <c r="R324" s="816"/>
      <c r="S324" s="816"/>
      <c r="T324" s="816"/>
      <c r="U324" s="250"/>
      <c r="V324" s="816"/>
      <c r="W324" s="816"/>
      <c r="X324" s="816"/>
      <c r="Y324" s="816"/>
      <c r="Z324" s="250"/>
      <c r="AA324" s="816"/>
      <c r="AB324" s="816"/>
      <c r="AC324" s="816"/>
      <c r="AD324" s="816"/>
      <c r="AE324" s="250"/>
      <c r="AF324" s="816"/>
      <c r="AG324" s="816"/>
      <c r="AH324" s="816"/>
      <c r="AI324" s="816"/>
      <c r="AJ324" s="250"/>
      <c r="AK324" s="816"/>
      <c r="AL324" s="816"/>
      <c r="AM324" s="816"/>
      <c r="AN324" s="816"/>
      <c r="AO324" s="250"/>
      <c r="AP324" s="816"/>
      <c r="AQ324" s="816"/>
      <c r="AR324" s="816"/>
      <c r="AS324" s="816"/>
      <c r="AT324" s="250"/>
      <c r="AU324" s="816"/>
      <c r="AV324" s="816"/>
      <c r="AW324" s="817"/>
      <c r="AX324" s="816">
        <f t="shared" ref="AX324:BG324" ca="1" si="276">IFERROR(AX392/AX382,0)</f>
        <v>0</v>
      </c>
      <c r="AY324" s="250">
        <f t="shared" ca="1" si="276"/>
        <v>0</v>
      </c>
      <c r="AZ324" s="816">
        <f t="shared" ca="1" si="276"/>
        <v>0</v>
      </c>
      <c r="BA324" s="816">
        <f t="shared" ca="1" si="276"/>
        <v>0</v>
      </c>
      <c r="BB324" s="816">
        <f t="shared" ca="1" si="276"/>
        <v>0</v>
      </c>
      <c r="BC324" s="816">
        <f t="shared" ca="1" si="276"/>
        <v>0</v>
      </c>
      <c r="BD324" s="250">
        <f t="shared" ca="1" si="276"/>
        <v>0</v>
      </c>
      <c r="BE324" s="250">
        <f t="shared" ca="1" si="276"/>
        <v>0</v>
      </c>
      <c r="BF324" s="250">
        <f t="shared" ca="1" si="276"/>
        <v>0</v>
      </c>
      <c r="BG324" s="250">
        <f t="shared" ca="1" si="276"/>
        <v>0</v>
      </c>
      <c r="BH324" s="365"/>
    </row>
    <row r="325" spans="1:60" s="120" customFormat="1" hidden="1" outlineLevel="1" x14ac:dyDescent="0.25">
      <c r="A325" s="635"/>
      <c r="B325" s="236"/>
      <c r="C325" s="186"/>
      <c r="D325" s="186"/>
      <c r="E325" s="186"/>
      <c r="F325" s="186"/>
      <c r="G325" s="185"/>
      <c r="H325" s="185"/>
      <c r="I325" s="185"/>
      <c r="J325" s="185"/>
      <c r="K325" s="186"/>
      <c r="L325" s="185"/>
      <c r="M325" s="185"/>
      <c r="N325" s="185"/>
      <c r="O325" s="185"/>
      <c r="P325" s="186"/>
      <c r="Q325" s="185"/>
      <c r="R325" s="185"/>
      <c r="S325" s="185"/>
      <c r="T325" s="185"/>
      <c r="U325" s="186"/>
      <c r="V325" s="185"/>
      <c r="W325" s="185"/>
      <c r="X325" s="185"/>
      <c r="Y325" s="185"/>
      <c r="Z325" s="186"/>
      <c r="AA325" s="185"/>
      <c r="AB325" s="185"/>
      <c r="AC325" s="185"/>
      <c r="AD325" s="185"/>
      <c r="AE325" s="186"/>
      <c r="AF325" s="185"/>
      <c r="AG325" s="185"/>
      <c r="AH325" s="185"/>
      <c r="AI325" s="185"/>
      <c r="AJ325" s="186"/>
      <c r="AK325" s="185"/>
      <c r="AL325" s="185"/>
      <c r="AM325" s="185"/>
      <c r="AN325" s="185"/>
      <c r="AO325" s="186"/>
      <c r="AP325" s="185"/>
      <c r="AQ325" s="185"/>
      <c r="AR325" s="185"/>
      <c r="AS325" s="185"/>
      <c r="AT325" s="186"/>
      <c r="AU325" s="185"/>
      <c r="AV325" s="185"/>
      <c r="AW325" s="722"/>
      <c r="AX325" s="185"/>
      <c r="AY325" s="186"/>
      <c r="AZ325" s="185"/>
      <c r="BA325" s="185"/>
      <c r="BB325" s="185"/>
      <c r="BC325" s="185"/>
      <c r="BD325" s="186"/>
      <c r="BE325" s="186"/>
      <c r="BF325" s="186"/>
      <c r="BG325" s="186"/>
      <c r="BH325" s="365"/>
    </row>
    <row r="326" spans="1:60" s="120" customFormat="1" hidden="1" outlineLevel="1" x14ac:dyDescent="0.25">
      <c r="A326" s="223" t="s">
        <v>751</v>
      </c>
      <c r="B326" s="235"/>
      <c r="C326" s="95">
        <f t="shared" ref="C326:AH326" si="277">C394/C381</f>
        <v>6.1995837167129704E-2</v>
      </c>
      <c r="D326" s="95">
        <f t="shared" si="277"/>
        <v>9.0993969711505515E-2</v>
      </c>
      <c r="E326" s="95">
        <f t="shared" si="277"/>
        <v>8.2838005894967731E-2</v>
      </c>
      <c r="F326" s="95">
        <f t="shared" si="277"/>
        <v>6.9750953404185287E-2</v>
      </c>
      <c r="G326" s="96">
        <f t="shared" si="277"/>
        <v>3.1773325358851676E-2</v>
      </c>
      <c r="H326" s="96">
        <f t="shared" si="277"/>
        <v>5.4791071706253899E-2</v>
      </c>
      <c r="I326" s="96">
        <f t="shared" si="277"/>
        <v>6.5956332039708271E-2</v>
      </c>
      <c r="J326" s="96">
        <f t="shared" si="277"/>
        <v>6.1092066402370526E-2</v>
      </c>
      <c r="K326" s="95">
        <f t="shared" si="277"/>
        <v>5.2685975040427192E-2</v>
      </c>
      <c r="L326" s="96">
        <f t="shared" si="277"/>
        <v>7.1337637097891843E-2</v>
      </c>
      <c r="M326" s="96">
        <f t="shared" si="277"/>
        <v>7.1118569075933044E-2</v>
      </c>
      <c r="N326" s="96">
        <f t="shared" si="277"/>
        <v>7.627576296894592E-2</v>
      </c>
      <c r="O326" s="96">
        <f t="shared" si="277"/>
        <v>7.105547315088627E-2</v>
      </c>
      <c r="P326" s="95">
        <f t="shared" si="277"/>
        <v>7.2515692436989507E-2</v>
      </c>
      <c r="Q326" s="96">
        <f t="shared" si="277"/>
        <v>8.2044516321232483E-2</v>
      </c>
      <c r="R326" s="96">
        <f t="shared" si="277"/>
        <v>9.5697692926314387E-2</v>
      </c>
      <c r="S326" s="96">
        <f t="shared" si="277"/>
        <v>0.11781308277531015</v>
      </c>
      <c r="T326" s="96">
        <f t="shared" si="277"/>
        <v>0.118350928045587</v>
      </c>
      <c r="U326" s="95">
        <f t="shared" si="277"/>
        <v>0.10444572141793487</v>
      </c>
      <c r="V326" s="96">
        <f t="shared" si="277"/>
        <v>0.13640231271925848</v>
      </c>
      <c r="W326" s="97">
        <f t="shared" si="277"/>
        <v>0.14427523411103946</v>
      </c>
      <c r="X326" s="97">
        <f t="shared" si="277"/>
        <v>0.12202558609419623</v>
      </c>
      <c r="Y326" s="96">
        <f t="shared" si="277"/>
        <v>0.14310363467886067</v>
      </c>
      <c r="Z326" s="95">
        <f t="shared" si="277"/>
        <v>0.13529730582223309</v>
      </c>
      <c r="AA326" s="96">
        <f t="shared" si="277"/>
        <v>0.13967518089805545</v>
      </c>
      <c r="AB326" s="97">
        <f t="shared" si="277"/>
        <v>0.13950996520236011</v>
      </c>
      <c r="AC326" s="97">
        <f t="shared" si="277"/>
        <v>0.13422700964091563</v>
      </c>
      <c r="AD326" s="96">
        <f t="shared" si="277"/>
        <v>0.14281339399783899</v>
      </c>
      <c r="AE326" s="95">
        <f t="shared" si="277"/>
        <v>0.13913067807967019</v>
      </c>
      <c r="AF326" s="96">
        <f t="shared" si="277"/>
        <v>0.1221071882340482</v>
      </c>
      <c r="AG326" s="97">
        <f t="shared" si="277"/>
        <v>0.1212461249737959</v>
      </c>
      <c r="AH326" s="97">
        <f t="shared" si="277"/>
        <v>7.3680329722131413E-2</v>
      </c>
      <c r="AI326" s="96">
        <f t="shared" ref="AI326:BG326" si="278">AI394/AI381</f>
        <v>6.8744219556585037E-2</v>
      </c>
      <c r="AJ326" s="95">
        <f t="shared" si="278"/>
        <v>8.858050698588732E-2</v>
      </c>
      <c r="AK326" s="96">
        <f t="shared" si="278"/>
        <v>0.10295732829765908</v>
      </c>
      <c r="AL326" s="97">
        <f t="shared" si="278"/>
        <v>9.1118349975652296E-2</v>
      </c>
      <c r="AM326" s="97">
        <f t="shared" si="278"/>
        <v>8.4221957797874045E-2</v>
      </c>
      <c r="AN326" s="96">
        <f t="shared" si="278"/>
        <v>7.8143410086323417E-2</v>
      </c>
      <c r="AO326" s="95">
        <f t="shared" si="278"/>
        <v>8.7639352266254369E-2</v>
      </c>
      <c r="AP326" s="96">
        <f t="shared" si="278"/>
        <v>9.2397660818713451E-2</v>
      </c>
      <c r="AQ326" s="97">
        <f t="shared" si="278"/>
        <v>9.3936381709741557E-2</v>
      </c>
      <c r="AR326" s="97">
        <f t="shared" si="278"/>
        <v>6.6583057804127238E-2</v>
      </c>
      <c r="AS326" s="96">
        <f t="shared" si="278"/>
        <v>5.7520476545048396E-2</v>
      </c>
      <c r="AT326" s="95">
        <f t="shared" si="278"/>
        <v>7.3630136986301373E-2</v>
      </c>
      <c r="AU326" s="96">
        <f t="shared" si="278"/>
        <v>5.9774761767253826E-2</v>
      </c>
      <c r="AV326" s="97">
        <f t="shared" si="278"/>
        <v>5.6949322629202208E-2</v>
      </c>
      <c r="AW326" s="916">
        <f t="shared" si="278"/>
        <v>5.5317293014465363E-2</v>
      </c>
      <c r="AX326" s="160">
        <f t="shared" si="278"/>
        <v>5.0362108514556622E-2</v>
      </c>
      <c r="AY326" s="98">
        <f t="shared" si="278"/>
        <v>5.4979322618245008E-2</v>
      </c>
      <c r="AZ326" s="160">
        <f t="shared" si="278"/>
        <v>3.9754036910522858E-2</v>
      </c>
      <c r="BA326" s="160">
        <f t="shared" si="278"/>
        <v>3.4998870406070574E-2</v>
      </c>
      <c r="BB326" s="160">
        <f t="shared" si="278"/>
        <v>3.0281792605289379E-2</v>
      </c>
      <c r="BC326" s="160">
        <f t="shared" si="278"/>
        <v>2.7479342325770477E-2</v>
      </c>
      <c r="BD326" s="98">
        <f t="shared" si="278"/>
        <v>3.2320855687837657E-2</v>
      </c>
      <c r="BE326" s="98">
        <f t="shared" si="278"/>
        <v>2.787852881778571E-2</v>
      </c>
      <c r="BF326" s="98">
        <f t="shared" si="278"/>
        <v>2.4773498024698391E-2</v>
      </c>
      <c r="BG326" s="98">
        <f t="shared" si="278"/>
        <v>2.1603872030168149E-2</v>
      </c>
      <c r="BH326" s="365"/>
    </row>
    <row r="327" spans="1:60" s="120" customFormat="1" hidden="1" outlineLevel="1" x14ac:dyDescent="0.25">
      <c r="A327" s="223" t="s">
        <v>752</v>
      </c>
      <c r="B327" s="235"/>
      <c r="C327" s="95">
        <f t="shared" ref="C327:AH327" si="279">C395/C381</f>
        <v>1.2810090849807491E-2</v>
      </c>
      <c r="D327" s="95">
        <f t="shared" si="279"/>
        <v>0.18121702185979582</v>
      </c>
      <c r="E327" s="95">
        <f t="shared" si="279"/>
        <v>0.14403991343602196</v>
      </c>
      <c r="F327" s="95">
        <f t="shared" si="279"/>
        <v>0.12134125094372494</v>
      </c>
      <c r="G327" s="96">
        <f t="shared" si="279"/>
        <v>2.6465311004784685E-2</v>
      </c>
      <c r="H327" s="96">
        <f t="shared" si="279"/>
        <v>4.7536771330333537E-2</v>
      </c>
      <c r="I327" s="96">
        <f t="shared" si="279"/>
        <v>4.9702558966583668E-2</v>
      </c>
      <c r="J327" s="96">
        <f t="shared" si="279"/>
        <v>6.3648879504696693E-2</v>
      </c>
      <c r="K327" s="95">
        <f t="shared" si="279"/>
        <v>4.7044543420995122E-2</v>
      </c>
      <c r="L327" s="96">
        <f t="shared" si="279"/>
        <v>5.9686532096135309E-2</v>
      </c>
      <c r="M327" s="96">
        <f t="shared" si="279"/>
        <v>4.6510751297525577E-2</v>
      </c>
      <c r="N327" s="96">
        <f t="shared" si="279"/>
        <v>4.5970669308902048E-2</v>
      </c>
      <c r="O327" s="96">
        <f t="shared" si="279"/>
        <v>4.6533725112657458E-2</v>
      </c>
      <c r="P327" s="95">
        <f t="shared" si="279"/>
        <v>4.8930137858324715E-2</v>
      </c>
      <c r="Q327" s="96">
        <f t="shared" si="279"/>
        <v>4.5778184449078593E-2</v>
      </c>
      <c r="R327" s="96">
        <f t="shared" si="279"/>
        <v>4.537810374292129E-2</v>
      </c>
      <c r="S327" s="96">
        <f t="shared" si="279"/>
        <v>5.9813896192205507E-2</v>
      </c>
      <c r="T327" s="96">
        <f t="shared" si="279"/>
        <v>4.5788797575717646E-2</v>
      </c>
      <c r="U327" s="95">
        <f t="shared" si="279"/>
        <v>4.8936672413047382E-2</v>
      </c>
      <c r="V327" s="96">
        <f t="shared" si="279"/>
        <v>7.8163250360926473E-2</v>
      </c>
      <c r="W327" s="97">
        <f t="shared" si="279"/>
        <v>5.3000865342747373E-2</v>
      </c>
      <c r="X327" s="97">
        <f t="shared" si="279"/>
        <v>3.8958230727329374E-2</v>
      </c>
      <c r="Y327" s="96">
        <f t="shared" si="279"/>
        <v>3.8391757793709361E-2</v>
      </c>
      <c r="Z327" s="95">
        <f t="shared" si="279"/>
        <v>4.7745528227182005E-2</v>
      </c>
      <c r="AA327" s="96">
        <f t="shared" si="279"/>
        <v>3.8466844937636066E-2</v>
      </c>
      <c r="AB327" s="97">
        <f t="shared" si="279"/>
        <v>4.1598719796727579E-2</v>
      </c>
      <c r="AC327" s="97">
        <f t="shared" si="279"/>
        <v>3.7743807952289606E-2</v>
      </c>
      <c r="AD327" s="96">
        <f t="shared" si="279"/>
        <v>4.0857003225728952E-2</v>
      </c>
      <c r="AE327" s="95">
        <f t="shared" si="279"/>
        <v>3.9694692063808476E-2</v>
      </c>
      <c r="AF327" s="96">
        <f t="shared" si="279"/>
        <v>4.1551582969832648E-2</v>
      </c>
      <c r="AG327" s="97">
        <f t="shared" si="279"/>
        <v>4.9308498185137245E-2</v>
      </c>
      <c r="AH327" s="97">
        <f t="shared" si="279"/>
        <v>2.9999356721230087E-2</v>
      </c>
      <c r="AI327" s="96">
        <f t="shared" ref="AI327:BG327" si="280">AI395/AI381</f>
        <v>2.8413590994472226E-2</v>
      </c>
      <c r="AJ327" s="95">
        <f t="shared" si="280"/>
        <v>3.4901199686803219E-2</v>
      </c>
      <c r="AK327" s="96">
        <f t="shared" si="280"/>
        <v>4.5883441991393083E-2</v>
      </c>
      <c r="AL327" s="97">
        <f t="shared" si="280"/>
        <v>3.3050977719178115E-2</v>
      </c>
      <c r="AM327" s="97">
        <f t="shared" si="280"/>
        <v>3.1572267174361415E-2</v>
      </c>
      <c r="AN327" s="96">
        <f t="shared" si="280"/>
        <v>3.8023337387220232E-2</v>
      </c>
      <c r="AO327" s="95">
        <f t="shared" si="280"/>
        <v>3.6536740174139472E-2</v>
      </c>
      <c r="AP327" s="96">
        <f t="shared" si="280"/>
        <v>3.525480367585631E-2</v>
      </c>
      <c r="AQ327" s="97">
        <f t="shared" si="280"/>
        <v>5.7488402915838302E-2</v>
      </c>
      <c r="AR327" s="97">
        <f t="shared" si="280"/>
        <v>6.1908562307604609E-2</v>
      </c>
      <c r="AS327" s="96">
        <f t="shared" si="280"/>
        <v>5.8916604616530158E-2</v>
      </c>
      <c r="AT327" s="95">
        <f t="shared" si="280"/>
        <v>5.498477929984779E-2</v>
      </c>
      <c r="AU327" s="96">
        <f t="shared" si="280"/>
        <v>5.9100972182115699E-2</v>
      </c>
      <c r="AV327" s="97">
        <f t="shared" si="280"/>
        <v>3.9638735574510787E-2</v>
      </c>
      <c r="AW327" s="916">
        <f t="shared" si="280"/>
        <v>3.4527876717307553E-2</v>
      </c>
      <c r="AX327" s="160">
        <f t="shared" si="280"/>
        <v>1.8640100069337699E-2</v>
      </c>
      <c r="AY327" s="98">
        <f t="shared" si="280"/>
        <v>3.543192265032908E-2</v>
      </c>
      <c r="AZ327" s="160">
        <f t="shared" si="280"/>
        <v>1.471700317191438E-2</v>
      </c>
      <c r="BA327" s="160">
        <f t="shared" si="280"/>
        <v>1.248726209249503E-2</v>
      </c>
      <c r="BB327" s="160">
        <f t="shared" si="280"/>
        <v>1.0433615152428088E-2</v>
      </c>
      <c r="BC327" s="160">
        <f t="shared" si="280"/>
        <v>9.2377307868155793E-3</v>
      </c>
      <c r="BD327" s="98">
        <f t="shared" si="280"/>
        <v>1.1359571065224406E-2</v>
      </c>
      <c r="BE327" s="98">
        <f t="shared" si="280"/>
        <v>9.2136084437558444E-3</v>
      </c>
      <c r="BF327" s="98">
        <f t="shared" si="280"/>
        <v>7.5188040059785202E-3</v>
      </c>
      <c r="BG327" s="98">
        <f t="shared" si="280"/>
        <v>6.1325361256464126E-3</v>
      </c>
      <c r="BH327" s="365"/>
    </row>
    <row r="328" spans="1:60" s="114" customFormat="1" hidden="1" outlineLevel="1" x14ac:dyDescent="0.25">
      <c r="A328" s="38" t="s">
        <v>84</v>
      </c>
      <c r="B328" s="189"/>
      <c r="C328" s="26">
        <f t="shared" ref="C328:AH328" si="281">C396/C381</f>
        <v>-0.38879608372117958</v>
      </c>
      <c r="D328" s="26">
        <f t="shared" si="281"/>
        <v>-0.98556671006647023</v>
      </c>
      <c r="E328" s="26">
        <f t="shared" si="281"/>
        <v>-1.0044457065637817</v>
      </c>
      <c r="F328" s="26">
        <f t="shared" si="281"/>
        <v>-0.76299678649553782</v>
      </c>
      <c r="G328" s="27">
        <f t="shared" si="281"/>
        <v>4.8299014581909418E-2</v>
      </c>
      <c r="H328" s="27">
        <f t="shared" si="281"/>
        <v>7.3221783141094787E-2</v>
      </c>
      <c r="I328" s="27">
        <f t="shared" si="281"/>
        <v>4.4824804217495934E-2</v>
      </c>
      <c r="J328" s="27">
        <f t="shared" si="281"/>
        <v>0.10303647969259733</v>
      </c>
      <c r="K328" s="26">
        <f t="shared" si="281"/>
        <v>6.9294401379491249E-2</v>
      </c>
      <c r="L328" s="27">
        <f t="shared" si="281"/>
        <v>6.0171591930924875E-2</v>
      </c>
      <c r="M328" s="27">
        <f t="shared" si="281"/>
        <v>8.0256164627496643E-2</v>
      </c>
      <c r="N328" s="27">
        <f t="shared" si="281"/>
        <v>7.6309808359669593E-2</v>
      </c>
      <c r="O328" s="27">
        <f t="shared" si="281"/>
        <v>3.9360860325653411E-2</v>
      </c>
      <c r="P328" s="26">
        <f t="shared" si="281"/>
        <v>6.3075530053565143E-2</v>
      </c>
      <c r="Q328" s="27">
        <f t="shared" si="281"/>
        <v>1.8823679618674805E-2</v>
      </c>
      <c r="R328" s="27">
        <f t="shared" si="281"/>
        <v>-3.7136011795060785E-2</v>
      </c>
      <c r="S328" s="27">
        <f t="shared" si="281"/>
        <v>-1.8427842342299102E-2</v>
      </c>
      <c r="T328" s="27">
        <f t="shared" si="281"/>
        <v>-5.0235511125018471E-2</v>
      </c>
      <c r="U328" s="26">
        <f t="shared" si="281"/>
        <v>-2.3736877552659699E-2</v>
      </c>
      <c r="V328" s="27">
        <f t="shared" si="281"/>
        <v>-1.8368891275692279E-3</v>
      </c>
      <c r="W328" s="28">
        <f t="shared" si="281"/>
        <v>9.8455375006791402E-3</v>
      </c>
      <c r="X328" s="28">
        <f t="shared" si="281"/>
        <v>0.19823610489915741</v>
      </c>
      <c r="Y328" s="27">
        <f t="shared" si="281"/>
        <v>6.4759692046549258E-2</v>
      </c>
      <c r="Z328" s="26">
        <f t="shared" si="281"/>
        <v>8.7710346033474731E-2</v>
      </c>
      <c r="AA328" s="27">
        <f t="shared" si="281"/>
        <v>8.262154754531259E-2</v>
      </c>
      <c r="AB328" s="28">
        <f t="shared" si="281"/>
        <v>9.4745151291047242E-2</v>
      </c>
      <c r="AC328" s="28">
        <f t="shared" si="281"/>
        <v>-7.4390008962449379E-3</v>
      </c>
      <c r="AD328" s="27">
        <f t="shared" si="281"/>
        <v>1.7678101627946038E-3</v>
      </c>
      <c r="AE328" s="26">
        <f t="shared" si="281"/>
        <v>4.0027805674259162E-2</v>
      </c>
      <c r="AF328" s="27">
        <f t="shared" si="281"/>
        <v>-1.1471063741528816E-2</v>
      </c>
      <c r="AG328" s="28">
        <f t="shared" si="281"/>
        <v>1.5293220206429637E-2</v>
      </c>
      <c r="AH328" s="28">
        <f t="shared" si="281"/>
        <v>0.16474823548926482</v>
      </c>
      <c r="AI328" s="27">
        <f t="shared" ref="AI328:BG328" si="282">AI396/AI381</f>
        <v>0.15438771204531274</v>
      </c>
      <c r="AJ328" s="26">
        <f t="shared" si="282"/>
        <v>0.10539922431423907</v>
      </c>
      <c r="AK328" s="27">
        <f t="shared" si="282"/>
        <v>3.393707403603767E-2</v>
      </c>
      <c r="AL328" s="28">
        <f t="shared" si="282"/>
        <v>9.7796643482281537E-2</v>
      </c>
      <c r="AM328" s="28">
        <f t="shared" si="282"/>
        <v>0.15720307789941299</v>
      </c>
      <c r="AN328" s="27">
        <f t="shared" si="282"/>
        <v>0.16482544360266846</v>
      </c>
      <c r="AO328" s="26">
        <f t="shared" si="282"/>
        <v>0.12136870371877288</v>
      </c>
      <c r="AP328" s="27">
        <f t="shared" si="282"/>
        <v>0.174937343358396</v>
      </c>
      <c r="AQ328" s="28">
        <f t="shared" si="282"/>
        <v>0.20559973492379058</v>
      </c>
      <c r="AR328" s="28">
        <f t="shared" si="282"/>
        <v>0.22072739710409303</v>
      </c>
      <c r="AS328" s="27">
        <f t="shared" si="282"/>
        <v>0.16995532390171258</v>
      </c>
      <c r="AT328" s="26">
        <f t="shared" si="282"/>
        <v>0.19184424150177576</v>
      </c>
      <c r="AU328" s="27">
        <f t="shared" si="282"/>
        <v>0.17605159303109058</v>
      </c>
      <c r="AV328" s="28">
        <f t="shared" si="282"/>
        <v>0.20630540224117747</v>
      </c>
      <c r="AW328" s="791">
        <f t="shared" si="282"/>
        <v>0.23551646434542414</v>
      </c>
      <c r="AX328" s="42">
        <f t="shared" si="282"/>
        <v>0.20594819139526171</v>
      </c>
      <c r="AY328" s="43">
        <f t="shared" si="282"/>
        <v>0.20784329924556297</v>
      </c>
      <c r="AZ328" s="42">
        <f t="shared" si="282"/>
        <v>0.2021211991224223</v>
      </c>
      <c r="BA328" s="42">
        <f t="shared" si="282"/>
        <v>0.1909004773999948</v>
      </c>
      <c r="BB328" s="42">
        <f t="shared" si="282"/>
        <v>0.19797811942457</v>
      </c>
      <c r="BC328" s="42">
        <f t="shared" si="282"/>
        <v>0.17300762625631647</v>
      </c>
      <c r="BD328" s="43">
        <f t="shared" si="282"/>
        <v>0.18949146744744275</v>
      </c>
      <c r="BE328" s="43">
        <f t="shared" si="282"/>
        <v>0.18420968194662371</v>
      </c>
      <c r="BF328" s="43">
        <f t="shared" si="282"/>
        <v>0.18031314645262994</v>
      </c>
      <c r="BG328" s="43">
        <f t="shared" si="282"/>
        <v>0.17566683720346854</v>
      </c>
      <c r="BH328" s="365"/>
    </row>
    <row r="329" spans="1:60" s="114" customFormat="1" hidden="1" outlineLevel="1" x14ac:dyDescent="0.25">
      <c r="A329" s="224" t="str">
        <f>CONCATENATE("Adjusted ",A328,IFERROR("  - "&amp;RIGHT(A397,FIND("(",A397)),""))</f>
        <v>Adjusted EBITDA Margin, %  -  (No Adjustments)</v>
      </c>
      <c r="B329" s="236"/>
      <c r="C329" s="169">
        <f t="shared" ref="C329:AH329" si="283">C397/C381</f>
        <v>-0.38879608372117958</v>
      </c>
      <c r="D329" s="169">
        <f t="shared" si="283"/>
        <v>-0.98556671006647023</v>
      </c>
      <c r="E329" s="169">
        <f t="shared" si="283"/>
        <v>-1.0044457065637817</v>
      </c>
      <c r="F329" s="169">
        <f t="shared" si="283"/>
        <v>-0.76299678649553782</v>
      </c>
      <c r="G329" s="163">
        <f t="shared" si="283"/>
        <v>4.8299014581909418E-2</v>
      </c>
      <c r="H329" s="163">
        <f t="shared" si="283"/>
        <v>7.3221783141094787E-2</v>
      </c>
      <c r="I329" s="163">
        <f t="shared" si="283"/>
        <v>4.4824804217495934E-2</v>
      </c>
      <c r="J329" s="163">
        <f t="shared" si="283"/>
        <v>0.10303647969259733</v>
      </c>
      <c r="K329" s="169">
        <f t="shared" si="283"/>
        <v>6.9294401379491249E-2</v>
      </c>
      <c r="L329" s="163">
        <f t="shared" si="283"/>
        <v>6.0171591930924875E-2</v>
      </c>
      <c r="M329" s="163">
        <f t="shared" si="283"/>
        <v>8.0256164627496643E-2</v>
      </c>
      <c r="N329" s="163">
        <f t="shared" si="283"/>
        <v>7.6309808359669593E-2</v>
      </c>
      <c r="O329" s="163">
        <f t="shared" si="283"/>
        <v>3.9360860325653411E-2</v>
      </c>
      <c r="P329" s="169">
        <f t="shared" si="283"/>
        <v>6.3075530053565143E-2</v>
      </c>
      <c r="Q329" s="163">
        <f t="shared" si="283"/>
        <v>1.8823679618674805E-2</v>
      </c>
      <c r="R329" s="163">
        <f t="shared" si="283"/>
        <v>-3.7136011795060785E-2</v>
      </c>
      <c r="S329" s="163">
        <f t="shared" si="283"/>
        <v>-1.8427842342299102E-2</v>
      </c>
      <c r="T329" s="163">
        <f t="shared" si="283"/>
        <v>-5.0235511125018471E-2</v>
      </c>
      <c r="U329" s="169">
        <f t="shared" si="283"/>
        <v>-2.3736877552659699E-2</v>
      </c>
      <c r="V329" s="163">
        <f t="shared" si="283"/>
        <v>-1.8368891275692279E-3</v>
      </c>
      <c r="W329" s="156">
        <f t="shared" si="283"/>
        <v>9.8455375006791402E-3</v>
      </c>
      <c r="X329" s="156">
        <f t="shared" si="283"/>
        <v>0.19823610489915741</v>
      </c>
      <c r="Y329" s="163">
        <f t="shared" si="283"/>
        <v>6.4759692046549258E-2</v>
      </c>
      <c r="Z329" s="169">
        <f t="shared" si="283"/>
        <v>8.7710346033474731E-2</v>
      </c>
      <c r="AA329" s="163">
        <f t="shared" si="283"/>
        <v>8.262154754531259E-2</v>
      </c>
      <c r="AB329" s="156">
        <f t="shared" si="283"/>
        <v>9.4745151291047242E-2</v>
      </c>
      <c r="AC329" s="156">
        <f t="shared" si="283"/>
        <v>-7.4390008962449379E-3</v>
      </c>
      <c r="AD329" s="163">
        <f t="shared" si="283"/>
        <v>1.7678101627946038E-3</v>
      </c>
      <c r="AE329" s="169">
        <f t="shared" si="283"/>
        <v>4.0027805674259162E-2</v>
      </c>
      <c r="AF329" s="163">
        <f t="shared" si="283"/>
        <v>-1.1471063741528816E-2</v>
      </c>
      <c r="AG329" s="156">
        <f t="shared" si="283"/>
        <v>1.5293220206429637E-2</v>
      </c>
      <c r="AH329" s="156">
        <f t="shared" si="283"/>
        <v>0.16474823548926482</v>
      </c>
      <c r="AI329" s="163">
        <f t="shared" ref="AI329:BG329" si="284">AI397/AI381</f>
        <v>0.15438771204531274</v>
      </c>
      <c r="AJ329" s="169">
        <f t="shared" si="284"/>
        <v>0.10539922431423907</v>
      </c>
      <c r="AK329" s="163">
        <f t="shared" si="284"/>
        <v>3.393707403603767E-2</v>
      </c>
      <c r="AL329" s="156">
        <f t="shared" si="284"/>
        <v>9.7796643482281537E-2</v>
      </c>
      <c r="AM329" s="156">
        <f t="shared" si="284"/>
        <v>0.15720307789941299</v>
      </c>
      <c r="AN329" s="163">
        <f t="shared" si="284"/>
        <v>0.16482544360266846</v>
      </c>
      <c r="AO329" s="169">
        <f t="shared" si="284"/>
        <v>0.12136870371877288</v>
      </c>
      <c r="AP329" s="163">
        <f t="shared" si="284"/>
        <v>0.174937343358396</v>
      </c>
      <c r="AQ329" s="156">
        <f t="shared" si="284"/>
        <v>0.20559973492379058</v>
      </c>
      <c r="AR329" s="156">
        <f t="shared" si="284"/>
        <v>0.22072739710409303</v>
      </c>
      <c r="AS329" s="163">
        <f t="shared" si="284"/>
        <v>0.16995532390171258</v>
      </c>
      <c r="AT329" s="169">
        <f t="shared" si="284"/>
        <v>0.19184424150177576</v>
      </c>
      <c r="AU329" s="163">
        <f t="shared" si="284"/>
        <v>0.17605159303109058</v>
      </c>
      <c r="AV329" s="156">
        <f t="shared" si="284"/>
        <v>0.20630540224117747</v>
      </c>
      <c r="AW329" s="800">
        <f t="shared" si="284"/>
        <v>0.23551646434542414</v>
      </c>
      <c r="AX329" s="185">
        <f t="shared" si="284"/>
        <v>0.20594819139526171</v>
      </c>
      <c r="AY329" s="186">
        <f t="shared" si="284"/>
        <v>0.207843299245563</v>
      </c>
      <c r="AZ329" s="185">
        <f t="shared" si="284"/>
        <v>0.2021211991224223</v>
      </c>
      <c r="BA329" s="185">
        <f t="shared" si="284"/>
        <v>0.1909004773999948</v>
      </c>
      <c r="BB329" s="185">
        <f t="shared" si="284"/>
        <v>0.19797811942457</v>
      </c>
      <c r="BC329" s="185">
        <f t="shared" si="284"/>
        <v>0.17300762625631647</v>
      </c>
      <c r="BD329" s="186">
        <f t="shared" si="284"/>
        <v>0.18949146744744277</v>
      </c>
      <c r="BE329" s="186">
        <f t="shared" si="284"/>
        <v>0.18420968194662371</v>
      </c>
      <c r="BF329" s="186">
        <f t="shared" si="284"/>
        <v>0.18031314645262994</v>
      </c>
      <c r="BG329" s="186">
        <f t="shared" si="284"/>
        <v>0.17566683720346854</v>
      </c>
      <c r="BH329" s="365"/>
    </row>
    <row r="330" spans="1:60" s="184" customFormat="1" hidden="1" outlineLevel="1" x14ac:dyDescent="0.25">
      <c r="A330" s="372" t="s">
        <v>85</v>
      </c>
      <c r="B330" s="658"/>
      <c r="C330" s="251"/>
      <c r="D330" s="251"/>
      <c r="E330" s="251"/>
      <c r="F330" s="251"/>
      <c r="G330" s="245"/>
      <c r="H330" s="245"/>
      <c r="I330" s="245"/>
      <c r="J330" s="245"/>
      <c r="K330" s="251"/>
      <c r="L330" s="245"/>
      <c r="M330" s="245"/>
      <c r="N330" s="245"/>
      <c r="O330" s="245"/>
      <c r="P330" s="251"/>
      <c r="Q330" s="245"/>
      <c r="R330" s="245"/>
      <c r="S330" s="245"/>
      <c r="T330" s="245"/>
      <c r="U330" s="251"/>
      <c r="V330" s="245"/>
      <c r="W330" s="245"/>
      <c r="X330" s="245"/>
      <c r="Y330" s="245"/>
      <c r="Z330" s="251"/>
      <c r="AA330" s="245"/>
      <c r="AB330" s="245"/>
      <c r="AC330" s="245"/>
      <c r="AD330" s="245"/>
      <c r="AE330" s="251"/>
      <c r="AF330" s="245"/>
      <c r="AG330" s="245"/>
      <c r="AH330" s="245"/>
      <c r="AI330" s="245"/>
      <c r="AJ330" s="251"/>
      <c r="AK330" s="245"/>
      <c r="AL330" s="245"/>
      <c r="AM330" s="245"/>
      <c r="AN330" s="245"/>
      <c r="AO330" s="251"/>
      <c r="AP330" s="245"/>
      <c r="AQ330" s="245"/>
      <c r="AR330" s="245"/>
      <c r="AS330" s="245"/>
      <c r="AT330" s="251"/>
      <c r="AU330" s="245"/>
      <c r="AV330" s="245"/>
      <c r="AW330" s="736"/>
      <c r="AX330" s="245">
        <f t="shared" ref="AX330:BG330" ca="1" si="285">IFERROR(AX398/AX382,0)</f>
        <v>0</v>
      </c>
      <c r="AY330" s="251">
        <f t="shared" ca="1" si="285"/>
        <v>0</v>
      </c>
      <c r="AZ330" s="245">
        <f t="shared" ca="1" si="285"/>
        <v>0</v>
      </c>
      <c r="BA330" s="245">
        <f t="shared" ca="1" si="285"/>
        <v>0</v>
      </c>
      <c r="BB330" s="245">
        <f t="shared" ca="1" si="285"/>
        <v>0</v>
      </c>
      <c r="BC330" s="245">
        <f t="shared" ca="1" si="285"/>
        <v>0</v>
      </c>
      <c r="BD330" s="251">
        <f t="shared" ca="1" si="285"/>
        <v>0</v>
      </c>
      <c r="BE330" s="251">
        <f t="shared" ca="1" si="285"/>
        <v>0</v>
      </c>
      <c r="BF330" s="251">
        <f t="shared" ca="1" si="285"/>
        <v>0</v>
      </c>
      <c r="BG330" s="251">
        <f t="shared" ca="1" si="285"/>
        <v>0</v>
      </c>
      <c r="BH330" s="372"/>
    </row>
    <row r="331" spans="1:60" s="184" customFormat="1" collapsed="1" x14ac:dyDescent="0.25">
      <c r="A331" s="245"/>
      <c r="B331" s="658"/>
      <c r="C331" s="251"/>
      <c r="D331" s="251"/>
      <c r="E331" s="251"/>
      <c r="F331" s="251"/>
      <c r="G331" s="245"/>
      <c r="H331" s="245"/>
      <c r="I331" s="245"/>
      <c r="J331" s="245"/>
      <c r="K331" s="251"/>
      <c r="L331" s="245"/>
      <c r="M331" s="245"/>
      <c r="N331" s="245"/>
      <c r="O331" s="245"/>
      <c r="P331" s="251"/>
      <c r="Q331" s="245"/>
      <c r="R331" s="245"/>
      <c r="S331" s="245"/>
      <c r="T331" s="245"/>
      <c r="U331" s="251"/>
      <c r="V331" s="245"/>
      <c r="W331" s="245"/>
      <c r="X331" s="245"/>
      <c r="Y331" s="245"/>
      <c r="Z331" s="251"/>
      <c r="AA331" s="245"/>
      <c r="AB331" s="245"/>
      <c r="AC331" s="245"/>
      <c r="AD331" s="245"/>
      <c r="AE331" s="251"/>
      <c r="AF331" s="245"/>
      <c r="AG331" s="245"/>
      <c r="AH331" s="245"/>
      <c r="AI331" s="245"/>
      <c r="AJ331" s="251"/>
      <c r="AK331" s="245"/>
      <c r="AL331" s="245"/>
      <c r="AM331" s="245"/>
      <c r="AN331" s="245"/>
      <c r="AO331" s="251"/>
      <c r="AP331" s="245"/>
      <c r="AQ331" s="245"/>
      <c r="AR331" s="245"/>
      <c r="AS331" s="245"/>
      <c r="AT331" s="251"/>
      <c r="AU331" s="245"/>
      <c r="AV331" s="245"/>
      <c r="AW331" s="736"/>
      <c r="AX331" s="245"/>
      <c r="AY331" s="251"/>
      <c r="AZ331" s="245"/>
      <c r="BA331" s="245"/>
      <c r="BB331" s="245"/>
      <c r="BC331" s="245"/>
      <c r="BD331" s="251"/>
      <c r="BE331" s="251"/>
      <c r="BF331" s="251"/>
      <c r="BG331" s="251"/>
      <c r="BH331" s="372"/>
    </row>
    <row r="332" spans="1:60" s="112" customFormat="1" x14ac:dyDescent="0.25">
      <c r="A332" s="1020" t="s">
        <v>86</v>
      </c>
      <c r="B332" s="1020"/>
      <c r="C332" s="1043"/>
      <c r="D332" s="1043"/>
      <c r="E332" s="1043"/>
      <c r="F332" s="1043"/>
      <c r="G332" s="1043"/>
      <c r="H332" s="1043"/>
      <c r="I332" s="1043"/>
      <c r="J332" s="1043"/>
      <c r="K332" s="1043"/>
      <c r="L332" s="1043"/>
      <c r="M332" s="1043"/>
      <c r="N332" s="1043"/>
      <c r="O332" s="1043"/>
      <c r="P332" s="1043"/>
      <c r="Q332" s="1043"/>
      <c r="R332" s="1043"/>
      <c r="S332" s="1043"/>
      <c r="T332" s="1043"/>
      <c r="U332" s="1043"/>
      <c r="V332" s="1043"/>
      <c r="W332" s="1043"/>
      <c r="X332" s="1043"/>
      <c r="Y332" s="1043"/>
      <c r="Z332" s="1043"/>
      <c r="AA332" s="1043"/>
      <c r="AB332" s="1043"/>
      <c r="AC332" s="1043"/>
      <c r="AD332" s="1043"/>
      <c r="AE332" s="1043"/>
      <c r="AF332" s="1043"/>
      <c r="AG332" s="1043"/>
      <c r="AH332" s="1043"/>
      <c r="AI332" s="1043"/>
      <c r="AJ332" s="1043"/>
      <c r="AK332" s="1043"/>
      <c r="AL332" s="1043"/>
      <c r="AM332" s="1043"/>
      <c r="AN332" s="1043"/>
      <c r="AO332" s="1043"/>
      <c r="AP332" s="1043"/>
      <c r="AQ332" s="1043"/>
      <c r="AR332" s="1043"/>
      <c r="AS332" s="1043"/>
      <c r="AT332" s="1043"/>
      <c r="AU332" s="1043"/>
      <c r="AV332" s="1043"/>
      <c r="AW332" s="1044"/>
      <c r="AX332" s="1043"/>
      <c r="AY332" s="1043"/>
      <c r="AZ332" s="1043"/>
      <c r="BA332" s="1043"/>
      <c r="BB332" s="1043"/>
      <c r="BC332" s="1043"/>
      <c r="BD332" s="1043"/>
      <c r="BE332" s="1043"/>
      <c r="BF332" s="1043"/>
      <c r="BG332" s="1043"/>
      <c r="BH332" s="1034"/>
    </row>
    <row r="333" spans="1:60" s="356" customFormat="1" hidden="1" outlineLevel="1" x14ac:dyDescent="0.25">
      <c r="A333" s="360" t="s">
        <v>87</v>
      </c>
      <c r="B333" s="450"/>
      <c r="C333" s="35">
        <v>111.943</v>
      </c>
      <c r="D333" s="35">
        <v>97.078000000000003</v>
      </c>
      <c r="E333" s="35">
        <v>148.56800000000001</v>
      </c>
      <c r="F333" s="35">
        <v>385.69900000000001</v>
      </c>
      <c r="G333" s="361">
        <v>555.20299999999997</v>
      </c>
      <c r="H333" s="361">
        <v>401.53500000000003</v>
      </c>
      <c r="I333" s="361">
        <v>430.19600000000003</v>
      </c>
      <c r="J333" s="361">
        <f>K333-I333-H333-G333</f>
        <v>610.85200000000009</v>
      </c>
      <c r="K333" s="35">
        <v>1997.7860000000001</v>
      </c>
      <c r="L333" s="361">
        <v>588.87099999999998</v>
      </c>
      <c r="M333" s="361">
        <v>727.82899999999995</v>
      </c>
      <c r="N333" s="361">
        <v>799.91499999999996</v>
      </c>
      <c r="O333" s="361">
        <v>890.39599999999996</v>
      </c>
      <c r="P333" s="35">
        <v>3007.0120000000002</v>
      </c>
      <c r="Q333" s="361">
        <v>893.32</v>
      </c>
      <c r="R333" s="361">
        <v>878.09</v>
      </c>
      <c r="S333" s="361">
        <v>852.55499999999995</v>
      </c>
      <c r="T333" s="361">
        <v>1117.008</v>
      </c>
      <c r="U333" s="35">
        <v>3740.973</v>
      </c>
      <c r="V333" s="361">
        <v>1026.0640000000001</v>
      </c>
      <c r="W333" s="361">
        <v>1181.8520000000001</v>
      </c>
      <c r="X333" s="361">
        <v>1917.442</v>
      </c>
      <c r="Y333" s="361">
        <v>1739.4490000000001</v>
      </c>
      <c r="Z333" s="35">
        <v>5589.0069999999996</v>
      </c>
      <c r="AA333" s="361">
        <v>2035.06</v>
      </c>
      <c r="AB333" s="361">
        <v>2013.8520000000001</v>
      </c>
      <c r="AC333" s="361">
        <v>2076.7310000000002</v>
      </c>
      <c r="AD333" s="361">
        <v>2409.1089999999999</v>
      </c>
      <c r="AE333" s="35">
        <v>8534.7520000000004</v>
      </c>
      <c r="AF333" s="361">
        <v>2561.8809999999999</v>
      </c>
      <c r="AG333" s="361">
        <v>3117.8649999999998</v>
      </c>
      <c r="AH333" s="361">
        <v>5878.3050000000003</v>
      </c>
      <c r="AI333" s="361">
        <f>AJ333-SUM(AF333,AG333,AH333)</f>
        <v>6073.4710000000014</v>
      </c>
      <c r="AJ333" s="35">
        <v>17631.522000000001</v>
      </c>
      <c r="AK333" s="361">
        <v>3508.741</v>
      </c>
      <c r="AL333" s="36">
        <v>5168.027</v>
      </c>
      <c r="AM333" s="361">
        <v>5132</v>
      </c>
      <c r="AN333" s="361">
        <f>AO333-SUM(AK333,AL333,AM333)</f>
        <v>6143.232</v>
      </c>
      <c r="AO333" s="35">
        <v>19952</v>
      </c>
      <c r="AP333" s="361">
        <v>4893</v>
      </c>
      <c r="AQ333" s="36">
        <v>4911</v>
      </c>
      <c r="AR333" s="361">
        <v>7346</v>
      </c>
      <c r="AS333" s="361">
        <f>AT333-SUM(AP333,AQ333,AR333)</f>
        <v>9034</v>
      </c>
      <c r="AT333" s="35">
        <v>26184</v>
      </c>
      <c r="AU333" s="361">
        <v>8705</v>
      </c>
      <c r="AV333" s="36">
        <v>9874</v>
      </c>
      <c r="AW333" s="998">
        <v>11672</v>
      </c>
      <c r="AX333" s="439"/>
      <c r="AY333" s="440"/>
      <c r="AZ333" s="439"/>
      <c r="BA333" s="439"/>
      <c r="BB333" s="439"/>
      <c r="BC333" s="439"/>
      <c r="BD333" s="440"/>
      <c r="BE333" s="440"/>
      <c r="BF333" s="440"/>
      <c r="BG333" s="440"/>
      <c r="BH333" s="361"/>
    </row>
    <row r="334" spans="1:60" s="356" customFormat="1" hidden="1" outlineLevel="1" x14ac:dyDescent="0.25">
      <c r="A334" s="360" t="s">
        <v>88</v>
      </c>
      <c r="B334" s="450"/>
      <c r="C334" s="440"/>
      <c r="D334" s="440"/>
      <c r="E334" s="440"/>
      <c r="F334" s="440"/>
      <c r="G334" s="439"/>
      <c r="H334" s="439"/>
      <c r="I334" s="439"/>
      <c r="J334" s="439"/>
      <c r="K334" s="440"/>
      <c r="L334" s="439"/>
      <c r="M334" s="439"/>
      <c r="N334" s="439"/>
      <c r="O334" s="439"/>
      <c r="P334" s="440"/>
      <c r="Q334" s="439"/>
      <c r="R334" s="439"/>
      <c r="S334" s="439"/>
      <c r="T334" s="439"/>
      <c r="U334" s="440"/>
      <c r="V334" s="439"/>
      <c r="W334" s="439"/>
      <c r="X334" s="361">
        <v>231.285</v>
      </c>
      <c r="Y334" s="361">
        <v>254.67400000000001</v>
      </c>
      <c r="Z334" s="35">
        <v>761.75900000000001</v>
      </c>
      <c r="AA334" s="361">
        <v>254.54</v>
      </c>
      <c r="AB334" s="361">
        <v>272.76400000000001</v>
      </c>
      <c r="AC334" s="361">
        <v>286.15800000000002</v>
      </c>
      <c r="AD334" s="361">
        <v>293.08600000000001</v>
      </c>
      <c r="AE334" s="35">
        <v>1106.548</v>
      </c>
      <c r="AF334" s="361">
        <v>173.43600000000001</v>
      </c>
      <c r="AG334" s="361">
        <v>239.816</v>
      </c>
      <c r="AH334" s="361">
        <v>220.46100000000001</v>
      </c>
      <c r="AI334" s="361">
        <f>AJ334-SUM(AF334,AG334,AH334)</f>
        <v>249.74800000000005</v>
      </c>
      <c r="AJ334" s="35">
        <v>883.46100000000001</v>
      </c>
      <c r="AK334" s="361">
        <v>215.12</v>
      </c>
      <c r="AL334" s="36">
        <v>208.36199999999999</v>
      </c>
      <c r="AM334" s="361">
        <v>221</v>
      </c>
      <c r="AN334" s="361">
        <f>AO334-SUM(AK334,AL334,AM334)</f>
        <v>224.51800000000003</v>
      </c>
      <c r="AO334" s="35">
        <v>869</v>
      </c>
      <c r="AP334" s="361">
        <v>239</v>
      </c>
      <c r="AQ334" s="36">
        <v>268</v>
      </c>
      <c r="AR334" s="361">
        <v>265</v>
      </c>
      <c r="AS334" s="361">
        <f>AT334-SUM(AP334,AQ334,AR334)</f>
        <v>280</v>
      </c>
      <c r="AT334" s="35">
        <v>1052</v>
      </c>
      <c r="AU334" s="361">
        <v>297</v>
      </c>
      <c r="AV334" s="36">
        <v>332</v>
      </c>
      <c r="AW334" s="998">
        <v>385</v>
      </c>
      <c r="AX334" s="439"/>
      <c r="AY334" s="440"/>
      <c r="AZ334" s="439"/>
      <c r="BA334" s="439"/>
      <c r="BB334" s="439"/>
      <c r="BC334" s="439"/>
      <c r="BD334" s="440"/>
      <c r="BE334" s="440"/>
      <c r="BF334" s="440"/>
      <c r="BG334" s="440"/>
      <c r="BH334" s="361"/>
    </row>
    <row r="335" spans="1:60" s="356" customFormat="1" hidden="1" outlineLevel="1" x14ac:dyDescent="0.25">
      <c r="A335" s="360" t="s">
        <v>89</v>
      </c>
      <c r="B335" s="450"/>
      <c r="C335" s="440"/>
      <c r="D335" s="440"/>
      <c r="E335" s="440"/>
      <c r="F335" s="440"/>
      <c r="G335" s="439"/>
      <c r="H335" s="439"/>
      <c r="I335" s="439"/>
      <c r="J335" s="439"/>
      <c r="K335" s="440"/>
      <c r="L335" s="439"/>
      <c r="M335" s="439"/>
      <c r="N335" s="439"/>
      <c r="O335" s="439"/>
      <c r="P335" s="440"/>
      <c r="Q335" s="439"/>
      <c r="R335" s="439"/>
      <c r="S335" s="439"/>
      <c r="T335" s="439"/>
      <c r="U335" s="440"/>
      <c r="V335" s="439"/>
      <c r="W335" s="439"/>
      <c r="X335" s="439"/>
      <c r="Y335" s="361">
        <v>131.38499999999999</v>
      </c>
      <c r="Z335" s="35">
        <v>181.39400000000001</v>
      </c>
      <c r="AA335" s="361">
        <v>213.94399999999999</v>
      </c>
      <c r="AB335" s="361">
        <v>286.77999999999997</v>
      </c>
      <c r="AC335" s="361">
        <v>317.505</v>
      </c>
      <c r="AD335" s="361">
        <v>298.03699999999998</v>
      </c>
      <c r="AE335" s="35">
        <v>1116.2660000000001</v>
      </c>
      <c r="AF335" s="361">
        <v>410.02199999999999</v>
      </c>
      <c r="AG335" s="361">
        <v>374.40800000000002</v>
      </c>
      <c r="AH335" s="361">
        <v>399.31700000000001</v>
      </c>
      <c r="AI335" s="361">
        <f>AJ335-SUM(AF335,AG335,AH335)</f>
        <v>371.49699999999984</v>
      </c>
      <c r="AJ335" s="35">
        <v>1555.2439999999999</v>
      </c>
      <c r="AK335" s="361">
        <v>324.661</v>
      </c>
      <c r="AL335" s="439">
        <v>368.20800000000003</v>
      </c>
      <c r="AM335" s="361">
        <v>402</v>
      </c>
      <c r="AN335" s="361">
        <f>AO335-SUM(AK335,AL335,AM335)</f>
        <v>436.13099999999986</v>
      </c>
      <c r="AO335" s="35">
        <v>1531</v>
      </c>
      <c r="AP335" s="361">
        <v>293</v>
      </c>
      <c r="AQ335" s="439">
        <v>370</v>
      </c>
      <c r="AR335" s="361">
        <v>579</v>
      </c>
      <c r="AS335" s="361">
        <f>AT335-SUM(AP335,AQ335,AR335)</f>
        <v>752</v>
      </c>
      <c r="AT335" s="35">
        <v>1994</v>
      </c>
      <c r="AU335" s="361">
        <v>494</v>
      </c>
      <c r="AV335" s="439">
        <v>801</v>
      </c>
      <c r="AW335" s="998">
        <v>806</v>
      </c>
      <c r="AX335" s="439"/>
      <c r="AY335" s="440"/>
      <c r="AZ335" s="439"/>
      <c r="BA335" s="439"/>
      <c r="BB335" s="439"/>
      <c r="BC335" s="439"/>
      <c r="BD335" s="440"/>
      <c r="BE335" s="440"/>
      <c r="BF335" s="440"/>
      <c r="BG335" s="440"/>
      <c r="BH335" s="361"/>
    </row>
    <row r="336" spans="1:60" s="356" customFormat="1" hidden="1" outlineLevel="1" x14ac:dyDescent="0.25">
      <c r="A336" s="533" t="s">
        <v>90</v>
      </c>
      <c r="B336" s="527"/>
      <c r="C336" s="479"/>
      <c r="D336" s="261">
        <v>19.666</v>
      </c>
      <c r="E336" s="261">
        <v>55.673999999999999</v>
      </c>
      <c r="F336" s="261">
        <v>27.556999999999999</v>
      </c>
      <c r="G336" s="262">
        <v>6.5890000000000004</v>
      </c>
      <c r="H336" s="262">
        <v>3.6040000000000001</v>
      </c>
      <c r="I336" s="262">
        <v>1.1499999999999999</v>
      </c>
      <c r="J336" s="262">
        <f>K336-I336-H336-G336</f>
        <v>4.3669999999999991</v>
      </c>
      <c r="K336" s="261">
        <v>15.71</v>
      </c>
      <c r="L336" s="262">
        <v>31.670999999999999</v>
      </c>
      <c r="M336" s="262">
        <v>41.52</v>
      </c>
      <c r="N336" s="262">
        <v>51.889000000000003</v>
      </c>
      <c r="O336" s="262">
        <v>66.265000000000001</v>
      </c>
      <c r="P336" s="261">
        <v>191.34399999999999</v>
      </c>
      <c r="Q336" s="262">
        <v>46.56</v>
      </c>
      <c r="R336" s="262">
        <v>76.885999999999996</v>
      </c>
      <c r="S336" s="262">
        <v>84.233999999999995</v>
      </c>
      <c r="T336" s="262">
        <v>97.372</v>
      </c>
      <c r="U336" s="261">
        <v>305.05200000000002</v>
      </c>
      <c r="V336" s="262">
        <v>120.98399999999999</v>
      </c>
      <c r="W336" s="262">
        <v>88.165000000000006</v>
      </c>
      <c r="X336" s="262">
        <v>149.709</v>
      </c>
      <c r="Y336" s="262">
        <v>159.12299999999999</v>
      </c>
      <c r="Z336" s="261">
        <v>467.97199999999998</v>
      </c>
      <c r="AA336" s="262">
        <v>192.726</v>
      </c>
      <c r="AB336" s="262">
        <v>216.161</v>
      </c>
      <c r="AC336" s="262">
        <v>304.28100000000001</v>
      </c>
      <c r="AD336" s="262">
        <v>288.017</v>
      </c>
      <c r="AE336" s="261">
        <v>1001.1849999999999</v>
      </c>
      <c r="AF336" s="262">
        <v>263.41199999999998</v>
      </c>
      <c r="AG336" s="262">
        <v>270.142</v>
      </c>
      <c r="AH336" s="262">
        <v>326.33</v>
      </c>
      <c r="AI336" s="262">
        <f>AJ336-SUM(AF336,AG336,AH336)</f>
        <v>531.15699999999993</v>
      </c>
      <c r="AJ336" s="261">
        <v>1391.0409999999999</v>
      </c>
      <c r="AK336" s="262">
        <v>492.94200000000001</v>
      </c>
      <c r="AL336" s="459">
        <v>605.07899999999995</v>
      </c>
      <c r="AM336" s="262">
        <v>548</v>
      </c>
      <c r="AN336" s="262">
        <f>AO336-SUM(AK336,AL336,AM336)</f>
        <v>579.97900000000004</v>
      </c>
      <c r="AO336" s="261">
        <v>2226</v>
      </c>
      <c r="AP336" s="262">
        <v>560</v>
      </c>
      <c r="AQ336" s="459">
        <v>487</v>
      </c>
      <c r="AR336" s="262">
        <v>581</v>
      </c>
      <c r="AS336" s="262">
        <f>AT336-SUM(AP336,AQ336,AR336)</f>
        <v>678</v>
      </c>
      <c r="AT336" s="261">
        <v>2306</v>
      </c>
      <c r="AU336" s="262">
        <v>893</v>
      </c>
      <c r="AV336" s="459">
        <v>951</v>
      </c>
      <c r="AW336" s="999">
        <v>894</v>
      </c>
      <c r="AX336" s="459"/>
      <c r="AY336" s="479"/>
      <c r="AZ336" s="459"/>
      <c r="BA336" s="459"/>
      <c r="BB336" s="459"/>
      <c r="BC336" s="459"/>
      <c r="BD336" s="479"/>
      <c r="BE336" s="479"/>
      <c r="BF336" s="479"/>
      <c r="BG336" s="479"/>
      <c r="BH336" s="361"/>
    </row>
    <row r="337" spans="1:60" s="116" customFormat="1" hidden="1" outlineLevel="1" x14ac:dyDescent="0.25">
      <c r="A337" s="86" t="s">
        <v>675</v>
      </c>
      <c r="B337" s="529"/>
      <c r="C337" s="29">
        <f t="shared" ref="C337:AH337" si="286">SUM(C333:C336)</f>
        <v>111.943</v>
      </c>
      <c r="D337" s="29">
        <f t="shared" si="286"/>
        <v>116.744</v>
      </c>
      <c r="E337" s="29">
        <f t="shared" si="286"/>
        <v>204.24200000000002</v>
      </c>
      <c r="F337" s="29">
        <f t="shared" si="286"/>
        <v>413.25600000000003</v>
      </c>
      <c r="G337" s="30">
        <f t="shared" si="286"/>
        <v>561.79200000000003</v>
      </c>
      <c r="H337" s="30">
        <f t="shared" si="286"/>
        <v>405.13900000000001</v>
      </c>
      <c r="I337" s="30">
        <f t="shared" si="286"/>
        <v>431.346</v>
      </c>
      <c r="J337" s="30">
        <f t="shared" si="286"/>
        <v>615.21900000000005</v>
      </c>
      <c r="K337" s="29">
        <f t="shared" si="286"/>
        <v>2013.4960000000001</v>
      </c>
      <c r="L337" s="30">
        <f t="shared" si="286"/>
        <v>620.54200000000003</v>
      </c>
      <c r="M337" s="30">
        <f t="shared" si="286"/>
        <v>769.34899999999993</v>
      </c>
      <c r="N337" s="30">
        <f t="shared" si="286"/>
        <v>851.80399999999997</v>
      </c>
      <c r="O337" s="30">
        <f t="shared" si="286"/>
        <v>956.66099999999994</v>
      </c>
      <c r="P337" s="29">
        <f t="shared" si="286"/>
        <v>3198.3560000000002</v>
      </c>
      <c r="Q337" s="30">
        <f t="shared" si="286"/>
        <v>939.88000000000011</v>
      </c>
      <c r="R337" s="30">
        <f t="shared" si="286"/>
        <v>954.976</v>
      </c>
      <c r="S337" s="30">
        <f t="shared" si="286"/>
        <v>936.78899999999999</v>
      </c>
      <c r="T337" s="30">
        <f t="shared" si="286"/>
        <v>1214.3800000000001</v>
      </c>
      <c r="U337" s="29">
        <f t="shared" si="286"/>
        <v>4046.0250000000001</v>
      </c>
      <c r="V337" s="30">
        <f t="shared" si="286"/>
        <v>1147.048</v>
      </c>
      <c r="W337" s="30">
        <f t="shared" si="286"/>
        <v>1270.0170000000001</v>
      </c>
      <c r="X337" s="30">
        <f t="shared" si="286"/>
        <v>2298.4359999999997</v>
      </c>
      <c r="Y337" s="30">
        <f t="shared" si="286"/>
        <v>2284.6309999999999</v>
      </c>
      <c r="Z337" s="29">
        <f t="shared" si="286"/>
        <v>7000.1319999999996</v>
      </c>
      <c r="AA337" s="30">
        <f t="shared" si="286"/>
        <v>2696.27</v>
      </c>
      <c r="AB337" s="30">
        <f t="shared" si="286"/>
        <v>2789.5569999999998</v>
      </c>
      <c r="AC337" s="30">
        <f t="shared" si="286"/>
        <v>2984.6750000000002</v>
      </c>
      <c r="AD337" s="30">
        <f t="shared" si="286"/>
        <v>3288.2489999999993</v>
      </c>
      <c r="AE337" s="29">
        <f t="shared" si="286"/>
        <v>11758.751</v>
      </c>
      <c r="AF337" s="30">
        <f t="shared" si="286"/>
        <v>3408.7509999999997</v>
      </c>
      <c r="AG337" s="30">
        <f t="shared" si="286"/>
        <v>4002.2309999999993</v>
      </c>
      <c r="AH337" s="30">
        <f t="shared" si="286"/>
        <v>6824.4130000000005</v>
      </c>
      <c r="AI337" s="30">
        <f t="shared" ref="AI337:AY337" si="287">SUM(AI333:AI336)</f>
        <v>7225.8730000000005</v>
      </c>
      <c r="AJ337" s="29">
        <f t="shared" si="287"/>
        <v>21461.268</v>
      </c>
      <c r="AK337" s="30">
        <f t="shared" si="287"/>
        <v>4541.4639999999999</v>
      </c>
      <c r="AL337" s="30">
        <f t="shared" si="287"/>
        <v>6349.6759999999995</v>
      </c>
      <c r="AM337" s="30">
        <f t="shared" si="287"/>
        <v>6303</v>
      </c>
      <c r="AN337" s="30">
        <f t="shared" si="287"/>
        <v>7383.86</v>
      </c>
      <c r="AO337" s="29">
        <f t="shared" si="287"/>
        <v>24578</v>
      </c>
      <c r="AP337" s="30">
        <f t="shared" si="287"/>
        <v>5985</v>
      </c>
      <c r="AQ337" s="30">
        <f t="shared" si="287"/>
        <v>6036</v>
      </c>
      <c r="AR337" s="30">
        <f>SUM(AR333:AR336)</f>
        <v>8771</v>
      </c>
      <c r="AS337" s="30">
        <f>SUM(AS333:AS336)</f>
        <v>10744</v>
      </c>
      <c r="AT337" s="29">
        <f>SUM(AT333:AT336)</f>
        <v>31536</v>
      </c>
      <c r="AU337" s="30">
        <f t="shared" ref="AU337" si="288">SUM(AU333:AU336)</f>
        <v>10389</v>
      </c>
      <c r="AV337" s="30">
        <f>SUM(AV333:AV336)</f>
        <v>11958</v>
      </c>
      <c r="AW337" s="724">
        <f>SUM(AW333:AW336)</f>
        <v>13757</v>
      </c>
      <c r="AX337" s="44">
        <f t="shared" si="287"/>
        <v>0</v>
      </c>
      <c r="AY337" s="45">
        <f t="shared" si="287"/>
        <v>0</v>
      </c>
      <c r="AZ337" s="44">
        <f t="shared" ref="AZ337:BG337" si="289">SUM(AZ333:AZ336)</f>
        <v>0</v>
      </c>
      <c r="BA337" s="44">
        <f t="shared" si="289"/>
        <v>0</v>
      </c>
      <c r="BB337" s="44">
        <f t="shared" si="289"/>
        <v>0</v>
      </c>
      <c r="BC337" s="44">
        <f t="shared" si="289"/>
        <v>0</v>
      </c>
      <c r="BD337" s="45">
        <f t="shared" si="289"/>
        <v>0</v>
      </c>
      <c r="BE337" s="45">
        <f t="shared" si="289"/>
        <v>0</v>
      </c>
      <c r="BF337" s="45">
        <f t="shared" si="289"/>
        <v>0</v>
      </c>
      <c r="BG337" s="45">
        <f t="shared" si="289"/>
        <v>0</v>
      </c>
      <c r="BH337" s="368"/>
    </row>
    <row r="338" spans="1:60" s="356" customFormat="1" hidden="1" outlineLevel="1" x14ac:dyDescent="0.25">
      <c r="A338" s="360" t="s">
        <v>87</v>
      </c>
      <c r="B338" s="450"/>
      <c r="C338" s="35">
        <v>102.408</v>
      </c>
      <c r="D338" s="35">
        <v>79.981999999999999</v>
      </c>
      <c r="E338" s="35">
        <v>115.482</v>
      </c>
      <c r="F338" s="35">
        <v>371.65800000000002</v>
      </c>
      <c r="G338" s="361">
        <v>461.81799999999998</v>
      </c>
      <c r="H338" s="361">
        <v>303.59899999999999</v>
      </c>
      <c r="I338" s="361">
        <v>324.88299999999998</v>
      </c>
      <c r="J338" s="361">
        <f>K338-I338-H338-G338</f>
        <v>453.57799999999997</v>
      </c>
      <c r="K338" s="35">
        <v>1543.8779999999999</v>
      </c>
      <c r="L338" s="361">
        <v>436.25400000000002</v>
      </c>
      <c r="M338" s="361">
        <v>519.81100000000004</v>
      </c>
      <c r="N338" s="361">
        <v>552.98699999999997</v>
      </c>
      <c r="O338" s="361">
        <v>636.697</v>
      </c>
      <c r="P338" s="35">
        <v>2145.7489999999998</v>
      </c>
      <c r="Q338" s="361">
        <v>631.745</v>
      </c>
      <c r="R338" s="361">
        <v>666.38599999999997</v>
      </c>
      <c r="S338" s="361">
        <v>628.72900000000004</v>
      </c>
      <c r="T338" s="361">
        <v>896.44200000000001</v>
      </c>
      <c r="U338" s="35">
        <v>2823.3020000000001</v>
      </c>
      <c r="V338" s="361">
        <v>779.31600000000003</v>
      </c>
      <c r="W338" s="361">
        <v>909.28200000000004</v>
      </c>
      <c r="X338" s="361">
        <v>1355.1020000000001</v>
      </c>
      <c r="Y338" s="361">
        <v>1372.604</v>
      </c>
      <c r="Z338" s="35">
        <v>4268.0870000000004</v>
      </c>
      <c r="AA338" s="361">
        <v>1496.6489999999999</v>
      </c>
      <c r="AB338" s="361">
        <v>1472.578</v>
      </c>
      <c r="AC338" s="361">
        <v>1755.6220000000001</v>
      </c>
      <c r="AD338" s="361">
        <v>1999.6310000000001</v>
      </c>
      <c r="AE338" s="35">
        <v>6724.48</v>
      </c>
      <c r="AF338" s="361">
        <v>2091.3969999999999</v>
      </c>
      <c r="AG338" s="361">
        <v>2529.739</v>
      </c>
      <c r="AH338" s="361">
        <v>4405.9189999999999</v>
      </c>
      <c r="AI338" s="361">
        <f>AJ338-SUM(AF338,AG338,AH338)</f>
        <v>4658.5169999999998</v>
      </c>
      <c r="AJ338" s="35">
        <v>13685.572</v>
      </c>
      <c r="AK338" s="361">
        <v>2856.2089999999998</v>
      </c>
      <c r="AL338" s="36">
        <v>4253.7629999999999</v>
      </c>
      <c r="AM338" s="361">
        <v>4014</v>
      </c>
      <c r="AN338" s="361">
        <f>AO338-SUM(AK338,AL338,AM338)</f>
        <v>4815.0280000000002</v>
      </c>
      <c r="AO338" s="35">
        <v>15939</v>
      </c>
      <c r="AP338" s="361">
        <v>3699</v>
      </c>
      <c r="AQ338" s="36">
        <v>3714</v>
      </c>
      <c r="AR338" s="361">
        <v>5361</v>
      </c>
      <c r="AS338" s="361">
        <f>AT338-SUM(AP338,AQ338,AR338)</f>
        <v>6922</v>
      </c>
      <c r="AT338" s="35">
        <v>19696</v>
      </c>
      <c r="AU338" s="361">
        <v>6457</v>
      </c>
      <c r="AV338" s="36">
        <v>7119</v>
      </c>
      <c r="AW338" s="998">
        <v>8150</v>
      </c>
      <c r="AX338" s="439"/>
      <c r="AY338" s="440"/>
      <c r="AZ338" s="439"/>
      <c r="BA338" s="439"/>
      <c r="BB338" s="439"/>
      <c r="BC338" s="439"/>
      <c r="BD338" s="440"/>
      <c r="BE338" s="440"/>
      <c r="BF338" s="440"/>
      <c r="BG338" s="440"/>
      <c r="BH338" s="361"/>
    </row>
    <row r="339" spans="1:60" s="356" customFormat="1" hidden="1" outlineLevel="1" x14ac:dyDescent="0.25">
      <c r="A339" s="360" t="s">
        <v>88</v>
      </c>
      <c r="B339" s="450"/>
      <c r="C339" s="440"/>
      <c r="D339" s="440"/>
      <c r="E339" s="440"/>
      <c r="F339" s="440"/>
      <c r="G339" s="439"/>
      <c r="H339" s="439"/>
      <c r="I339" s="439"/>
      <c r="J339" s="439"/>
      <c r="K339" s="440"/>
      <c r="L339" s="439"/>
      <c r="M339" s="439"/>
      <c r="N339" s="439"/>
      <c r="O339" s="439"/>
      <c r="P339" s="440"/>
      <c r="Q339" s="439"/>
      <c r="R339" s="439"/>
      <c r="S339" s="439"/>
      <c r="T339" s="439"/>
      <c r="U339" s="440"/>
      <c r="V339" s="439"/>
      <c r="W339" s="439"/>
      <c r="X339" s="361">
        <v>161.959</v>
      </c>
      <c r="Y339" s="361">
        <v>171.81800000000001</v>
      </c>
      <c r="Z339" s="35">
        <v>481.99400000000003</v>
      </c>
      <c r="AA339" s="361">
        <v>166.02600000000001</v>
      </c>
      <c r="AB339" s="361">
        <v>175.43299999999999</v>
      </c>
      <c r="AC339" s="361">
        <v>175.22399999999999</v>
      </c>
      <c r="AD339" s="361">
        <v>191.541</v>
      </c>
      <c r="AE339" s="35">
        <v>708.22400000000005</v>
      </c>
      <c r="AF339" s="361">
        <v>104.496</v>
      </c>
      <c r="AG339" s="361">
        <v>136.91499999999999</v>
      </c>
      <c r="AH339" s="361">
        <v>119.283</v>
      </c>
      <c r="AI339" s="361">
        <f>AJ339-SUM(AF339,AG339,AH339)</f>
        <v>127.73099999999999</v>
      </c>
      <c r="AJ339" s="35">
        <v>488.42500000000001</v>
      </c>
      <c r="AK339" s="361">
        <v>117.092</v>
      </c>
      <c r="AL339" s="36">
        <v>106.322</v>
      </c>
      <c r="AM339" s="361">
        <v>117</v>
      </c>
      <c r="AN339" s="361">
        <f>AO339-SUM(AK339,AL339,AM339)</f>
        <v>118.58600000000001</v>
      </c>
      <c r="AO339" s="35">
        <v>459</v>
      </c>
      <c r="AP339" s="361">
        <v>122</v>
      </c>
      <c r="AQ339" s="36">
        <v>148</v>
      </c>
      <c r="AR339" s="361">
        <v>145</v>
      </c>
      <c r="AS339" s="361">
        <f>AT339-SUM(AP339,AQ339,AR339)</f>
        <v>148</v>
      </c>
      <c r="AT339" s="35">
        <v>563</v>
      </c>
      <c r="AU339" s="361">
        <v>160</v>
      </c>
      <c r="AV339" s="36">
        <v>188</v>
      </c>
      <c r="AW339" s="998">
        <v>234</v>
      </c>
      <c r="AX339" s="439"/>
      <c r="AY339" s="440"/>
      <c r="AZ339" s="439"/>
      <c r="BA339" s="439"/>
      <c r="BB339" s="439"/>
      <c r="BC339" s="439"/>
      <c r="BD339" s="440"/>
      <c r="BE339" s="440"/>
      <c r="BF339" s="440"/>
      <c r="BG339" s="440"/>
      <c r="BH339" s="361"/>
    </row>
    <row r="340" spans="1:60" s="356" customFormat="1" hidden="1" outlineLevel="1" x14ac:dyDescent="0.25">
      <c r="A340" s="360" t="s">
        <v>89</v>
      </c>
      <c r="B340" s="450"/>
      <c r="C340" s="440"/>
      <c r="D340" s="440"/>
      <c r="E340" s="440"/>
      <c r="F340" s="440"/>
      <c r="G340" s="439"/>
      <c r="H340" s="439"/>
      <c r="I340" s="439"/>
      <c r="J340" s="439"/>
      <c r="K340" s="440"/>
      <c r="L340" s="439"/>
      <c r="M340" s="439"/>
      <c r="N340" s="439"/>
      <c r="O340" s="439"/>
      <c r="P340" s="440"/>
      <c r="Q340" s="439"/>
      <c r="R340" s="439"/>
      <c r="S340" s="439"/>
      <c r="T340" s="439"/>
      <c r="U340" s="440"/>
      <c r="V340" s="439"/>
      <c r="W340" s="439"/>
      <c r="X340" s="439"/>
      <c r="Y340" s="361">
        <v>127.779</v>
      </c>
      <c r="Z340" s="35">
        <v>178.33199999999999</v>
      </c>
      <c r="AA340" s="361">
        <v>151.773</v>
      </c>
      <c r="AB340" s="361">
        <v>203.762</v>
      </c>
      <c r="AC340" s="361">
        <v>237.28800000000001</v>
      </c>
      <c r="AD340" s="361">
        <v>281.71499999999997</v>
      </c>
      <c r="AE340" s="35">
        <v>874.53800000000001</v>
      </c>
      <c r="AF340" s="361">
        <v>375.363</v>
      </c>
      <c r="AG340" s="361">
        <v>330.27300000000002</v>
      </c>
      <c r="AH340" s="361">
        <v>330.55399999999997</v>
      </c>
      <c r="AI340" s="361">
        <f>AJ340-SUM(AF340,AG340,AH340)</f>
        <v>328.7059999999999</v>
      </c>
      <c r="AJ340" s="35">
        <v>1364.896</v>
      </c>
      <c r="AK340" s="361">
        <v>316.887</v>
      </c>
      <c r="AL340" s="36">
        <v>325.52300000000002</v>
      </c>
      <c r="AM340" s="361">
        <v>314</v>
      </c>
      <c r="AN340" s="361">
        <f>AO340-SUM(AK340,AL340,AM340)</f>
        <v>384.58999999999992</v>
      </c>
      <c r="AO340" s="35">
        <v>1341</v>
      </c>
      <c r="AP340" s="361">
        <v>282</v>
      </c>
      <c r="AQ340" s="36">
        <v>349</v>
      </c>
      <c r="AR340" s="361">
        <v>558</v>
      </c>
      <c r="AS340" s="361">
        <f>AT340-SUM(AP340,AQ340,AR340)</f>
        <v>787</v>
      </c>
      <c r="AT340" s="35">
        <v>1976</v>
      </c>
      <c r="AU340" s="361">
        <v>595</v>
      </c>
      <c r="AV340" s="36">
        <v>781</v>
      </c>
      <c r="AW340" s="998">
        <v>803</v>
      </c>
      <c r="AX340" s="439"/>
      <c r="AY340" s="440"/>
      <c r="AZ340" s="439"/>
      <c r="BA340" s="439"/>
      <c r="BB340" s="439"/>
      <c r="BC340" s="439"/>
      <c r="BD340" s="440"/>
      <c r="BE340" s="440"/>
      <c r="BF340" s="440"/>
      <c r="BG340" s="440"/>
      <c r="BH340" s="361"/>
    </row>
    <row r="341" spans="1:60" s="356" customFormat="1" hidden="1" outlineLevel="1" x14ac:dyDescent="0.25">
      <c r="A341" s="533" t="s">
        <v>90</v>
      </c>
      <c r="B341" s="527"/>
      <c r="C341" s="479"/>
      <c r="D341" s="261">
        <v>6.0309999999999997</v>
      </c>
      <c r="E341" s="261">
        <v>27.164999999999999</v>
      </c>
      <c r="F341" s="261">
        <v>11.531000000000001</v>
      </c>
      <c r="G341" s="262">
        <v>3.6539999999999999</v>
      </c>
      <c r="H341" s="262">
        <v>1.0569999999999999</v>
      </c>
      <c r="I341" s="262">
        <v>3.5950000000000002</v>
      </c>
      <c r="J341" s="262">
        <f>K341-I341-H341-G341</f>
        <v>5.0499999999999989</v>
      </c>
      <c r="K341" s="261">
        <v>13.356</v>
      </c>
      <c r="L341" s="262">
        <v>29.16</v>
      </c>
      <c r="M341" s="262">
        <v>36.542999999999999</v>
      </c>
      <c r="N341" s="262">
        <v>46.966000000000001</v>
      </c>
      <c r="O341" s="262">
        <v>58.267000000000003</v>
      </c>
      <c r="P341" s="261">
        <v>170.93600000000001</v>
      </c>
      <c r="Q341" s="262">
        <v>48.061999999999998</v>
      </c>
      <c r="R341" s="262">
        <v>75.22</v>
      </c>
      <c r="S341" s="262">
        <v>76.563999999999993</v>
      </c>
      <c r="T341" s="262">
        <v>99.373999999999995</v>
      </c>
      <c r="U341" s="261">
        <v>299.22000000000003</v>
      </c>
      <c r="V341" s="262">
        <v>115.264</v>
      </c>
      <c r="W341" s="262">
        <v>85.959000000000003</v>
      </c>
      <c r="X341" s="262">
        <v>144.63999999999999</v>
      </c>
      <c r="Y341" s="262">
        <v>177.15199999999999</v>
      </c>
      <c r="Z341" s="261">
        <v>472.46199999999999</v>
      </c>
      <c r="AA341" s="262">
        <v>213.876</v>
      </c>
      <c r="AB341" s="262">
        <v>271.16899999999998</v>
      </c>
      <c r="AC341" s="262">
        <v>367.40100000000001</v>
      </c>
      <c r="AD341" s="262">
        <v>376.57600000000002</v>
      </c>
      <c r="AE341" s="261">
        <v>1229.0219999999999</v>
      </c>
      <c r="AF341" s="262">
        <v>380.96899999999999</v>
      </c>
      <c r="AG341" s="262">
        <v>386.37400000000002</v>
      </c>
      <c r="AH341" s="262">
        <v>444.99200000000002</v>
      </c>
      <c r="AI341" s="262">
        <f>AJ341-SUM(AF341,AG341,AH341)</f>
        <v>668.01900000000001</v>
      </c>
      <c r="AJ341" s="261">
        <v>1880.354</v>
      </c>
      <c r="AK341" s="262">
        <v>685.53300000000002</v>
      </c>
      <c r="AL341" s="263">
        <v>743.02200000000005</v>
      </c>
      <c r="AM341" s="262">
        <v>667</v>
      </c>
      <c r="AN341" s="262">
        <f>AO341-SUM(AK341,AL341,AM341)</f>
        <v>674.44499999999971</v>
      </c>
      <c r="AO341" s="261">
        <v>2770</v>
      </c>
      <c r="AP341" s="262">
        <v>648</v>
      </c>
      <c r="AQ341" s="263">
        <v>558</v>
      </c>
      <c r="AR341" s="262">
        <v>644</v>
      </c>
      <c r="AS341" s="262">
        <f>AT341-SUM(AP341,AQ341,AR341)</f>
        <v>821</v>
      </c>
      <c r="AT341" s="261">
        <v>2671</v>
      </c>
      <c r="AU341" s="262">
        <v>962</v>
      </c>
      <c r="AV341" s="263">
        <v>986</v>
      </c>
      <c r="AW341" s="999">
        <v>910</v>
      </c>
      <c r="AX341" s="459"/>
      <c r="AY341" s="479"/>
      <c r="AZ341" s="459"/>
      <c r="BA341" s="459"/>
      <c r="BB341" s="459"/>
      <c r="BC341" s="459"/>
      <c r="BD341" s="479"/>
      <c r="BE341" s="479"/>
      <c r="BF341" s="479"/>
      <c r="BG341" s="479"/>
      <c r="BH341" s="361"/>
    </row>
    <row r="342" spans="1:60" s="116" customFormat="1" hidden="1" outlineLevel="1" x14ac:dyDescent="0.25">
      <c r="A342" s="86" t="s">
        <v>676</v>
      </c>
      <c r="B342" s="529"/>
      <c r="C342" s="29">
        <f t="shared" ref="C342:AH342" si="290">SUM(C338:C341)</f>
        <v>102.408</v>
      </c>
      <c r="D342" s="29">
        <f t="shared" si="290"/>
        <v>86.013000000000005</v>
      </c>
      <c r="E342" s="29">
        <f t="shared" si="290"/>
        <v>142.64699999999999</v>
      </c>
      <c r="F342" s="29">
        <f t="shared" si="290"/>
        <v>383.18900000000002</v>
      </c>
      <c r="G342" s="30">
        <f t="shared" si="290"/>
        <v>465.47199999999998</v>
      </c>
      <c r="H342" s="30">
        <f t="shared" si="290"/>
        <v>304.65600000000001</v>
      </c>
      <c r="I342" s="30">
        <f t="shared" si="290"/>
        <v>328.47800000000001</v>
      </c>
      <c r="J342" s="30">
        <f t="shared" si="290"/>
        <v>458.62799999999999</v>
      </c>
      <c r="K342" s="29">
        <f t="shared" si="290"/>
        <v>1557.2339999999999</v>
      </c>
      <c r="L342" s="30">
        <f t="shared" si="290"/>
        <v>465.41400000000004</v>
      </c>
      <c r="M342" s="30">
        <f t="shared" si="290"/>
        <v>556.35400000000004</v>
      </c>
      <c r="N342" s="30">
        <f t="shared" si="290"/>
        <v>599.95299999999997</v>
      </c>
      <c r="O342" s="30">
        <f t="shared" si="290"/>
        <v>694.96400000000006</v>
      </c>
      <c r="P342" s="29">
        <f t="shared" si="290"/>
        <v>2316.6849999999999</v>
      </c>
      <c r="Q342" s="30">
        <f t="shared" si="290"/>
        <v>679.80700000000002</v>
      </c>
      <c r="R342" s="30">
        <f t="shared" si="290"/>
        <v>741.60599999999999</v>
      </c>
      <c r="S342" s="30">
        <f t="shared" si="290"/>
        <v>705.29300000000001</v>
      </c>
      <c r="T342" s="30">
        <f t="shared" si="290"/>
        <v>995.81600000000003</v>
      </c>
      <c r="U342" s="29">
        <f t="shared" si="290"/>
        <v>3122.5219999999999</v>
      </c>
      <c r="V342" s="30">
        <f t="shared" si="290"/>
        <v>894.58</v>
      </c>
      <c r="W342" s="30">
        <f t="shared" si="290"/>
        <v>995.24099999999999</v>
      </c>
      <c r="X342" s="30">
        <f t="shared" si="290"/>
        <v>1661.701</v>
      </c>
      <c r="Y342" s="30">
        <f t="shared" si="290"/>
        <v>1849.3530000000001</v>
      </c>
      <c r="Z342" s="29">
        <f t="shared" si="290"/>
        <v>5400.875</v>
      </c>
      <c r="AA342" s="30">
        <f t="shared" si="290"/>
        <v>2028.3239999999998</v>
      </c>
      <c r="AB342" s="30">
        <f t="shared" si="290"/>
        <v>2122.942</v>
      </c>
      <c r="AC342" s="30">
        <f t="shared" si="290"/>
        <v>2535.5349999999999</v>
      </c>
      <c r="AD342" s="30">
        <f t="shared" si="290"/>
        <v>2849.4630000000002</v>
      </c>
      <c r="AE342" s="29">
        <f t="shared" si="290"/>
        <v>9536.2639999999992</v>
      </c>
      <c r="AF342" s="30">
        <f t="shared" si="290"/>
        <v>2952.2249999999999</v>
      </c>
      <c r="AG342" s="30">
        <f t="shared" si="290"/>
        <v>3383.3010000000004</v>
      </c>
      <c r="AH342" s="30">
        <f t="shared" si="290"/>
        <v>5300.7480000000005</v>
      </c>
      <c r="AI342" s="30">
        <f t="shared" ref="AI342:AY342" si="291">SUM(AI338:AI341)</f>
        <v>5782.973</v>
      </c>
      <c r="AJ342" s="29">
        <f t="shared" si="291"/>
        <v>17419.246999999999</v>
      </c>
      <c r="AK342" s="30">
        <f t="shared" si="291"/>
        <v>3975.721</v>
      </c>
      <c r="AL342" s="30">
        <f t="shared" si="291"/>
        <v>5428.63</v>
      </c>
      <c r="AM342" s="30">
        <f t="shared" si="291"/>
        <v>5112</v>
      </c>
      <c r="AN342" s="30">
        <f t="shared" si="291"/>
        <v>5992.6490000000003</v>
      </c>
      <c r="AO342" s="29">
        <f t="shared" si="291"/>
        <v>20509</v>
      </c>
      <c r="AP342" s="30">
        <f t="shared" si="291"/>
        <v>4751</v>
      </c>
      <c r="AQ342" s="30">
        <f t="shared" si="291"/>
        <v>4769</v>
      </c>
      <c r="AR342" s="30">
        <f>SUM(AR338:AR341)</f>
        <v>6708</v>
      </c>
      <c r="AS342" s="30">
        <f>SUM(AS338:AS341)</f>
        <v>8678</v>
      </c>
      <c r="AT342" s="29">
        <f>SUM(AT338:AT341)</f>
        <v>24906</v>
      </c>
      <c r="AU342" s="30">
        <f t="shared" ref="AU342" si="292">SUM(AU338:AU341)</f>
        <v>8174</v>
      </c>
      <c r="AV342" s="30">
        <f>SUM(AV338:AV341)</f>
        <v>9074</v>
      </c>
      <c r="AW342" s="724">
        <f>SUM(AW338:AW341)</f>
        <v>10097</v>
      </c>
      <c r="AX342" s="44">
        <f t="shared" si="291"/>
        <v>0</v>
      </c>
      <c r="AY342" s="45">
        <f t="shared" si="291"/>
        <v>0</v>
      </c>
      <c r="AZ342" s="44">
        <f t="shared" ref="AZ342:BG342" si="293">SUM(AZ338:AZ341)</f>
        <v>0</v>
      </c>
      <c r="BA342" s="44">
        <f t="shared" si="293"/>
        <v>0</v>
      </c>
      <c r="BB342" s="44">
        <f t="shared" si="293"/>
        <v>0</v>
      </c>
      <c r="BC342" s="44">
        <f t="shared" si="293"/>
        <v>0</v>
      </c>
      <c r="BD342" s="45">
        <f t="shared" si="293"/>
        <v>0</v>
      </c>
      <c r="BE342" s="45">
        <f t="shared" si="293"/>
        <v>0</v>
      </c>
      <c r="BF342" s="45">
        <f t="shared" si="293"/>
        <v>0</v>
      </c>
      <c r="BG342" s="45">
        <f t="shared" si="293"/>
        <v>0</v>
      </c>
      <c r="BH342" s="368"/>
    </row>
    <row r="343" spans="1:60" s="116" customFormat="1" hidden="1" outlineLevel="1" x14ac:dyDescent="0.25">
      <c r="A343" s="436" t="s">
        <v>118</v>
      </c>
      <c r="B343" s="531"/>
      <c r="C343" s="33">
        <f t="shared" ref="C343:AH343" si="294">C337-C342</f>
        <v>9.5349999999999966</v>
      </c>
      <c r="D343" s="33">
        <f t="shared" si="294"/>
        <v>30.730999999999995</v>
      </c>
      <c r="E343" s="33">
        <f t="shared" si="294"/>
        <v>61.595000000000027</v>
      </c>
      <c r="F343" s="33">
        <f t="shared" si="294"/>
        <v>30.067000000000007</v>
      </c>
      <c r="G343" s="368">
        <f t="shared" si="294"/>
        <v>96.32000000000005</v>
      </c>
      <c r="H343" s="368">
        <f t="shared" si="294"/>
        <v>100.483</v>
      </c>
      <c r="I343" s="368">
        <f t="shared" si="294"/>
        <v>102.86799999999999</v>
      </c>
      <c r="J343" s="368">
        <f t="shared" si="294"/>
        <v>156.59100000000007</v>
      </c>
      <c r="K343" s="33">
        <f t="shared" si="294"/>
        <v>456.26200000000017</v>
      </c>
      <c r="L343" s="368">
        <f t="shared" si="294"/>
        <v>155.12799999999999</v>
      </c>
      <c r="M343" s="368">
        <f t="shared" si="294"/>
        <v>212.99499999999989</v>
      </c>
      <c r="N343" s="368">
        <f t="shared" si="294"/>
        <v>251.851</v>
      </c>
      <c r="O343" s="368">
        <f t="shared" si="294"/>
        <v>261.69699999999989</v>
      </c>
      <c r="P343" s="33">
        <f t="shared" si="294"/>
        <v>881.67100000000028</v>
      </c>
      <c r="Q343" s="368">
        <f t="shared" si="294"/>
        <v>260.07300000000009</v>
      </c>
      <c r="R343" s="368">
        <f t="shared" si="294"/>
        <v>213.37</v>
      </c>
      <c r="S343" s="368">
        <f t="shared" si="294"/>
        <v>231.49599999999998</v>
      </c>
      <c r="T343" s="368">
        <f t="shared" si="294"/>
        <v>218.56400000000008</v>
      </c>
      <c r="U343" s="33">
        <f t="shared" si="294"/>
        <v>923.50300000000016</v>
      </c>
      <c r="V343" s="368">
        <f t="shared" si="294"/>
        <v>252.46799999999996</v>
      </c>
      <c r="W343" s="368">
        <f t="shared" si="294"/>
        <v>274.77600000000007</v>
      </c>
      <c r="X343" s="368">
        <f t="shared" si="294"/>
        <v>636.73499999999967</v>
      </c>
      <c r="Y343" s="368">
        <f t="shared" si="294"/>
        <v>435.27799999999979</v>
      </c>
      <c r="Z343" s="33">
        <f t="shared" si="294"/>
        <v>1599.2569999999996</v>
      </c>
      <c r="AA343" s="368">
        <f t="shared" si="294"/>
        <v>667.94600000000014</v>
      </c>
      <c r="AB343" s="368">
        <f t="shared" si="294"/>
        <v>666.61499999999978</v>
      </c>
      <c r="AC343" s="368">
        <f t="shared" si="294"/>
        <v>449.14000000000033</v>
      </c>
      <c r="AD343" s="368">
        <f t="shared" si="294"/>
        <v>438.78599999999915</v>
      </c>
      <c r="AE343" s="33">
        <f t="shared" si="294"/>
        <v>2222.487000000001</v>
      </c>
      <c r="AF343" s="368">
        <f t="shared" si="294"/>
        <v>456.52599999999984</v>
      </c>
      <c r="AG343" s="368">
        <f t="shared" si="294"/>
        <v>618.92999999999893</v>
      </c>
      <c r="AH343" s="368">
        <f t="shared" si="294"/>
        <v>1523.665</v>
      </c>
      <c r="AI343" s="368">
        <f t="shared" ref="AI343:AY343" si="295">AI337-AI342</f>
        <v>1442.9000000000005</v>
      </c>
      <c r="AJ343" s="33">
        <f t="shared" si="295"/>
        <v>4042.0210000000006</v>
      </c>
      <c r="AK343" s="368">
        <f t="shared" si="295"/>
        <v>565.74299999999994</v>
      </c>
      <c r="AL343" s="368">
        <f t="shared" si="295"/>
        <v>921.04599999999937</v>
      </c>
      <c r="AM343" s="368">
        <f t="shared" si="295"/>
        <v>1191</v>
      </c>
      <c r="AN343" s="368">
        <f t="shared" si="295"/>
        <v>1391.2109999999993</v>
      </c>
      <c r="AO343" s="33">
        <f t="shared" si="295"/>
        <v>4069</v>
      </c>
      <c r="AP343" s="368">
        <f t="shared" si="295"/>
        <v>1234</v>
      </c>
      <c r="AQ343" s="368">
        <f t="shared" si="295"/>
        <v>1267</v>
      </c>
      <c r="AR343" s="368">
        <f>AR337-AR342</f>
        <v>2063</v>
      </c>
      <c r="AS343" s="368">
        <f>AS337-AS342</f>
        <v>2066</v>
      </c>
      <c r="AT343" s="33">
        <f>AT337-AT342</f>
        <v>6630</v>
      </c>
      <c r="AU343" s="368">
        <f t="shared" ref="AU343" si="296">AU337-AU342</f>
        <v>2215</v>
      </c>
      <c r="AV343" s="368">
        <f>AV337-AV342</f>
        <v>2884</v>
      </c>
      <c r="AW343" s="846">
        <f>AW337-AW342</f>
        <v>3660</v>
      </c>
      <c r="AX343" s="437">
        <f t="shared" si="295"/>
        <v>0</v>
      </c>
      <c r="AY343" s="438">
        <f t="shared" si="295"/>
        <v>0</v>
      </c>
      <c r="AZ343" s="437">
        <f t="shared" ref="AZ343:BG343" si="297">AZ337-AZ342</f>
        <v>0</v>
      </c>
      <c r="BA343" s="437">
        <f t="shared" si="297"/>
        <v>0</v>
      </c>
      <c r="BB343" s="437">
        <f t="shared" si="297"/>
        <v>0</v>
      </c>
      <c r="BC343" s="437">
        <f t="shared" si="297"/>
        <v>0</v>
      </c>
      <c r="BD343" s="438">
        <f t="shared" si="297"/>
        <v>0</v>
      </c>
      <c r="BE343" s="438">
        <f t="shared" si="297"/>
        <v>0</v>
      </c>
      <c r="BF343" s="438">
        <f t="shared" si="297"/>
        <v>0</v>
      </c>
      <c r="BG343" s="438">
        <f t="shared" si="297"/>
        <v>0</v>
      </c>
      <c r="BH343" s="368"/>
    </row>
    <row r="344" spans="1:60" s="356" customFormat="1" hidden="1" outlineLevel="1" x14ac:dyDescent="0.25">
      <c r="A344" s="360" t="s">
        <v>91</v>
      </c>
      <c r="B344" s="450"/>
      <c r="C344" s="35">
        <v>19.282</v>
      </c>
      <c r="D344" s="35">
        <v>92.995999999999995</v>
      </c>
      <c r="E344" s="35">
        <v>208.98099999999999</v>
      </c>
      <c r="F344" s="35">
        <v>273.97800000000001</v>
      </c>
      <c r="G344" s="361">
        <v>54.859000000000002</v>
      </c>
      <c r="H344" s="361">
        <v>52.311999999999998</v>
      </c>
      <c r="I344" s="361">
        <v>56.350999999999999</v>
      </c>
      <c r="J344" s="361">
        <f>K344-I344-H344-G344</f>
        <v>68.454000000000008</v>
      </c>
      <c r="K344" s="35">
        <v>231.976</v>
      </c>
      <c r="L344" s="361">
        <v>81.543999999999997</v>
      </c>
      <c r="M344" s="361">
        <v>107.717</v>
      </c>
      <c r="N344" s="361">
        <v>135.87299999999999</v>
      </c>
      <c r="O344" s="361">
        <v>139.565</v>
      </c>
      <c r="P344" s="35">
        <v>464.7</v>
      </c>
      <c r="Q344" s="361">
        <v>167.154</v>
      </c>
      <c r="R344" s="361">
        <v>181.71199999999999</v>
      </c>
      <c r="S344" s="361">
        <v>178.791</v>
      </c>
      <c r="T344" s="361">
        <v>190.24299999999999</v>
      </c>
      <c r="U344" s="35">
        <v>717.9</v>
      </c>
      <c r="V344" s="361">
        <v>182.482</v>
      </c>
      <c r="W344" s="361">
        <v>191.66399999999999</v>
      </c>
      <c r="X344" s="361">
        <v>214.30199999999999</v>
      </c>
      <c r="Y344" s="361">
        <v>245.96</v>
      </c>
      <c r="Z344" s="35">
        <v>834.40800000000002</v>
      </c>
      <c r="AA344" s="361">
        <v>322.04000000000002</v>
      </c>
      <c r="AB344" s="361">
        <v>369.774</v>
      </c>
      <c r="AC344" s="361">
        <v>331.62200000000001</v>
      </c>
      <c r="AD344" s="361">
        <v>354.637</v>
      </c>
      <c r="AE344" s="35">
        <v>1378.0730000000001</v>
      </c>
      <c r="AF344" s="361">
        <v>367.096</v>
      </c>
      <c r="AG344" s="361">
        <v>386.12900000000002</v>
      </c>
      <c r="AH344" s="361">
        <v>350.84800000000001</v>
      </c>
      <c r="AI344" s="361">
        <f>AJ344-SUM(AF344,AG344,AH344)</f>
        <v>356.2969999999998</v>
      </c>
      <c r="AJ344" s="35">
        <v>1460.37</v>
      </c>
      <c r="AK344" s="361">
        <v>340.17399999999998</v>
      </c>
      <c r="AL344" s="361">
        <v>323.89800000000002</v>
      </c>
      <c r="AM344" s="361">
        <v>334</v>
      </c>
      <c r="AN344" s="361">
        <f>AO344-SUM(AK344,AL344,AM344)</f>
        <v>344.928</v>
      </c>
      <c r="AO344" s="35">
        <v>1343</v>
      </c>
      <c r="AP344" s="361">
        <v>324</v>
      </c>
      <c r="AQ344" s="361">
        <v>279</v>
      </c>
      <c r="AR344" s="361">
        <v>366</v>
      </c>
      <c r="AS344" s="361">
        <f>AT344-SUM(AP344,AQ344,AR344)</f>
        <v>522</v>
      </c>
      <c r="AT344" s="35">
        <v>1491</v>
      </c>
      <c r="AU344" s="361">
        <v>666</v>
      </c>
      <c r="AV344" s="361">
        <v>576</v>
      </c>
      <c r="AW344" s="998">
        <v>611</v>
      </c>
      <c r="AX344" s="439"/>
      <c r="AY344" s="440"/>
      <c r="AZ344" s="439"/>
      <c r="BA344" s="439"/>
      <c r="BB344" s="439"/>
      <c r="BC344" s="439"/>
      <c r="BD344" s="440"/>
      <c r="BE344" s="440"/>
      <c r="BF344" s="440"/>
      <c r="BG344" s="440"/>
      <c r="BH344" s="361"/>
    </row>
    <row r="345" spans="1:60" s="356" customFormat="1" hidden="1" outlineLevel="1" x14ac:dyDescent="0.25">
      <c r="A345" s="360" t="s">
        <v>92</v>
      </c>
      <c r="B345" s="450"/>
      <c r="C345" s="35">
        <v>42.15</v>
      </c>
      <c r="D345" s="35">
        <v>84.572999999999993</v>
      </c>
      <c r="E345" s="35">
        <v>104.102</v>
      </c>
      <c r="F345" s="35">
        <v>150.37200000000001</v>
      </c>
      <c r="G345" s="361">
        <v>47.045000000000002</v>
      </c>
      <c r="H345" s="361">
        <v>59.963000000000001</v>
      </c>
      <c r="I345" s="361">
        <v>77.070999999999998</v>
      </c>
      <c r="J345" s="361">
        <f>K345-I345-H345-G345</f>
        <v>101.49000000000002</v>
      </c>
      <c r="K345" s="35">
        <v>285.56900000000002</v>
      </c>
      <c r="L345" s="361">
        <v>117.551</v>
      </c>
      <c r="M345" s="361">
        <v>134.03100000000001</v>
      </c>
      <c r="N345" s="361">
        <v>155.107</v>
      </c>
      <c r="O345" s="361">
        <v>196.97</v>
      </c>
      <c r="P345" s="35">
        <v>603.66</v>
      </c>
      <c r="Q345" s="361">
        <v>195.36500000000001</v>
      </c>
      <c r="R345" s="361">
        <v>201.846</v>
      </c>
      <c r="S345" s="361">
        <v>236.36699999999999</v>
      </c>
      <c r="T345" s="361">
        <v>288.654</v>
      </c>
      <c r="U345" s="35">
        <v>922.23199999999997</v>
      </c>
      <c r="V345" s="361">
        <v>318.20999999999998</v>
      </c>
      <c r="W345" s="361">
        <v>321.15199999999999</v>
      </c>
      <c r="X345" s="361">
        <v>336.81099999999998</v>
      </c>
      <c r="Y345" s="361">
        <v>456.01600000000002</v>
      </c>
      <c r="Z345" s="35">
        <v>1432.1890000000001</v>
      </c>
      <c r="AA345" s="361">
        <v>603.45500000000004</v>
      </c>
      <c r="AB345" s="361">
        <v>537.75699999999995</v>
      </c>
      <c r="AC345" s="361">
        <v>652.99800000000005</v>
      </c>
      <c r="AD345" s="361">
        <v>682.29</v>
      </c>
      <c r="AE345" s="35">
        <v>2476.5</v>
      </c>
      <c r="AF345" s="361">
        <v>686.404</v>
      </c>
      <c r="AG345" s="361">
        <v>750.75900000000001</v>
      </c>
      <c r="AH345" s="361">
        <v>729.87599999999998</v>
      </c>
      <c r="AI345" s="361">
        <f>AJ345-SUM(AF345,AG345,AH345)</f>
        <v>667.45200000000023</v>
      </c>
      <c r="AJ345" s="35">
        <v>2834.491</v>
      </c>
      <c r="AK345" s="361">
        <v>703.92899999999997</v>
      </c>
      <c r="AL345" s="361">
        <v>647.26099999999997</v>
      </c>
      <c r="AM345" s="361">
        <v>596</v>
      </c>
      <c r="AN345" s="361">
        <f>AO345-SUM(AK345,AL345,AM345)</f>
        <v>698.81</v>
      </c>
      <c r="AO345" s="35">
        <v>2646</v>
      </c>
      <c r="AP345" s="361">
        <v>627</v>
      </c>
      <c r="AQ345" s="361">
        <v>661</v>
      </c>
      <c r="AR345" s="361">
        <v>888</v>
      </c>
      <c r="AS345" s="361">
        <f>AT345-SUM(AP345,AQ345,AR345)</f>
        <v>969</v>
      </c>
      <c r="AT345" s="35">
        <v>3145</v>
      </c>
      <c r="AU345" s="361">
        <v>1056</v>
      </c>
      <c r="AV345" s="361">
        <v>973</v>
      </c>
      <c r="AW345" s="998">
        <v>994</v>
      </c>
      <c r="AX345" s="439"/>
      <c r="AY345" s="440"/>
      <c r="AZ345" s="439"/>
      <c r="BA345" s="439"/>
      <c r="BB345" s="439"/>
      <c r="BC345" s="439"/>
      <c r="BD345" s="440"/>
      <c r="BE345" s="440"/>
      <c r="BF345" s="440"/>
      <c r="BG345" s="440"/>
      <c r="BH345" s="361"/>
    </row>
    <row r="346" spans="1:60" s="356" customFormat="1" hidden="1" outlineLevel="1" x14ac:dyDescent="0.25">
      <c r="A346" s="533" t="s">
        <v>93</v>
      </c>
      <c r="B346" s="527"/>
      <c r="C346" s="479"/>
      <c r="D346" s="479"/>
      <c r="E346" s="479"/>
      <c r="F346" s="479"/>
      <c r="G346" s="459"/>
      <c r="H346" s="459"/>
      <c r="I346" s="459"/>
      <c r="J346" s="459"/>
      <c r="K346" s="479"/>
      <c r="L346" s="459"/>
      <c r="M346" s="459"/>
      <c r="N346" s="459"/>
      <c r="O346" s="459"/>
      <c r="P346" s="479"/>
      <c r="Q346" s="459"/>
      <c r="R346" s="459"/>
      <c r="S346" s="459"/>
      <c r="T346" s="459"/>
      <c r="U346" s="479"/>
      <c r="V346" s="459"/>
      <c r="W346" s="459"/>
      <c r="X346" s="459"/>
      <c r="Y346" s="459"/>
      <c r="Z346" s="479"/>
      <c r="AA346" s="459"/>
      <c r="AB346" s="459"/>
      <c r="AC346" s="459"/>
      <c r="AD346" s="459"/>
      <c r="AE346" s="479"/>
      <c r="AF346" s="459"/>
      <c r="AG346" s="262">
        <v>103.434</v>
      </c>
      <c r="AH346" s="262">
        <v>26.184000000000001</v>
      </c>
      <c r="AI346" s="262">
        <f>AJ346-SUM(AF346,AG346,AH346)</f>
        <v>5.6150000000000091</v>
      </c>
      <c r="AJ346" s="261">
        <v>135.233</v>
      </c>
      <c r="AK346" s="262">
        <v>43.470999999999997</v>
      </c>
      <c r="AL346" s="262">
        <v>117.345</v>
      </c>
      <c r="AM346" s="459"/>
      <c r="AN346" s="262">
        <f>AO346-SUM(AK346,AL346,AM346)</f>
        <v>-11.816000000000003</v>
      </c>
      <c r="AO346" s="261">
        <v>149</v>
      </c>
      <c r="AP346" s="459"/>
      <c r="AQ346" s="459"/>
      <c r="AR346" s="459"/>
      <c r="AS346" s="262">
        <f>AT346-SUM(AP346,AQ346,AR346)</f>
        <v>0</v>
      </c>
      <c r="AT346" s="479"/>
      <c r="AU346" s="459">
        <v>-101</v>
      </c>
      <c r="AV346" s="459">
        <v>23</v>
      </c>
      <c r="AW346" s="723">
        <v>51</v>
      </c>
      <c r="AX346" s="459"/>
      <c r="AY346" s="479"/>
      <c r="AZ346" s="459"/>
      <c r="BA346" s="459"/>
      <c r="BB346" s="459"/>
      <c r="BC346" s="459"/>
      <c r="BD346" s="479"/>
      <c r="BE346" s="479"/>
      <c r="BF346" s="479"/>
      <c r="BG346" s="479"/>
      <c r="BH346" s="361"/>
    </row>
    <row r="347" spans="1:60" s="116" customFormat="1" hidden="1" outlineLevel="1" x14ac:dyDescent="0.25">
      <c r="A347" s="86" t="s">
        <v>677</v>
      </c>
      <c r="B347" s="529"/>
      <c r="C347" s="29">
        <f t="shared" ref="C347:AH347" si="298">SUM(C344:C346)</f>
        <v>61.432000000000002</v>
      </c>
      <c r="D347" s="29">
        <f t="shared" si="298"/>
        <v>177.56899999999999</v>
      </c>
      <c r="E347" s="29">
        <f t="shared" si="298"/>
        <v>313.08299999999997</v>
      </c>
      <c r="F347" s="29">
        <f t="shared" si="298"/>
        <v>424.35</v>
      </c>
      <c r="G347" s="30">
        <f t="shared" si="298"/>
        <v>101.904</v>
      </c>
      <c r="H347" s="30">
        <f t="shared" si="298"/>
        <v>112.27500000000001</v>
      </c>
      <c r="I347" s="30">
        <f t="shared" si="298"/>
        <v>133.422</v>
      </c>
      <c r="J347" s="30">
        <f t="shared" si="298"/>
        <v>169.94400000000002</v>
      </c>
      <c r="K347" s="29">
        <f t="shared" si="298"/>
        <v>517.54500000000007</v>
      </c>
      <c r="L347" s="30">
        <f t="shared" si="298"/>
        <v>199.095</v>
      </c>
      <c r="M347" s="30">
        <f t="shared" si="298"/>
        <v>241.74799999999999</v>
      </c>
      <c r="N347" s="30">
        <f t="shared" si="298"/>
        <v>290.98</v>
      </c>
      <c r="O347" s="30">
        <f t="shared" si="298"/>
        <v>336.53499999999997</v>
      </c>
      <c r="P347" s="29">
        <f t="shared" si="298"/>
        <v>1068.3599999999999</v>
      </c>
      <c r="Q347" s="30">
        <f t="shared" si="298"/>
        <v>362.51900000000001</v>
      </c>
      <c r="R347" s="30">
        <f t="shared" si="298"/>
        <v>383.55799999999999</v>
      </c>
      <c r="S347" s="30">
        <f t="shared" si="298"/>
        <v>415.15800000000002</v>
      </c>
      <c r="T347" s="30">
        <f t="shared" si="298"/>
        <v>478.89699999999999</v>
      </c>
      <c r="U347" s="29">
        <f t="shared" si="298"/>
        <v>1640.1320000000001</v>
      </c>
      <c r="V347" s="30">
        <f t="shared" si="298"/>
        <v>500.69200000000001</v>
      </c>
      <c r="W347" s="30">
        <f t="shared" si="298"/>
        <v>512.81600000000003</v>
      </c>
      <c r="X347" s="30">
        <f t="shared" si="298"/>
        <v>551.11299999999994</v>
      </c>
      <c r="Y347" s="30">
        <f t="shared" si="298"/>
        <v>701.976</v>
      </c>
      <c r="Z347" s="29">
        <f t="shared" si="298"/>
        <v>2266.5970000000002</v>
      </c>
      <c r="AA347" s="30">
        <f t="shared" si="298"/>
        <v>925.49500000000012</v>
      </c>
      <c r="AB347" s="30">
        <f t="shared" si="298"/>
        <v>907.53099999999995</v>
      </c>
      <c r="AC347" s="30">
        <f t="shared" si="298"/>
        <v>984.62000000000012</v>
      </c>
      <c r="AD347" s="30">
        <f t="shared" si="298"/>
        <v>1036.9269999999999</v>
      </c>
      <c r="AE347" s="29">
        <f t="shared" si="298"/>
        <v>3854.5730000000003</v>
      </c>
      <c r="AF347" s="30">
        <f t="shared" si="298"/>
        <v>1053.5</v>
      </c>
      <c r="AG347" s="30">
        <f t="shared" si="298"/>
        <v>1240.3219999999999</v>
      </c>
      <c r="AH347" s="30">
        <f t="shared" si="298"/>
        <v>1106.9079999999999</v>
      </c>
      <c r="AI347" s="30">
        <f t="shared" ref="AI347:AY347" si="299">SUM(AI344:AI346)</f>
        <v>1029.364</v>
      </c>
      <c r="AJ347" s="29">
        <f t="shared" si="299"/>
        <v>4430.0940000000001</v>
      </c>
      <c r="AK347" s="30">
        <f t="shared" si="299"/>
        <v>1087.5740000000001</v>
      </c>
      <c r="AL347" s="30">
        <f t="shared" si="299"/>
        <v>1088.5039999999999</v>
      </c>
      <c r="AM347" s="30">
        <f t="shared" si="299"/>
        <v>930</v>
      </c>
      <c r="AN347" s="30">
        <f t="shared" si="299"/>
        <v>1031.9219999999998</v>
      </c>
      <c r="AO347" s="29">
        <f t="shared" si="299"/>
        <v>4138</v>
      </c>
      <c r="AP347" s="30">
        <f t="shared" si="299"/>
        <v>951</v>
      </c>
      <c r="AQ347" s="30">
        <f t="shared" si="299"/>
        <v>940</v>
      </c>
      <c r="AR347" s="30">
        <f>SUM(AR344:AR346)</f>
        <v>1254</v>
      </c>
      <c r="AS347" s="30">
        <f>SUM(AS344:AS346)</f>
        <v>1491</v>
      </c>
      <c r="AT347" s="29">
        <f>SUM(AT344:AT346)</f>
        <v>4636</v>
      </c>
      <c r="AU347" s="30">
        <f t="shared" ref="AU347" si="300">SUM(AU344:AU346)</f>
        <v>1621</v>
      </c>
      <c r="AV347" s="30">
        <f>SUM(AV344:AV346)</f>
        <v>1572</v>
      </c>
      <c r="AW347" s="724">
        <f>SUM(AW344:AW346)</f>
        <v>1656</v>
      </c>
      <c r="AX347" s="44">
        <f t="shared" si="299"/>
        <v>0</v>
      </c>
      <c r="AY347" s="45">
        <f t="shared" si="299"/>
        <v>0</v>
      </c>
      <c r="AZ347" s="44">
        <f t="shared" ref="AZ347:BG347" si="301">SUM(AZ344:AZ346)</f>
        <v>0</v>
      </c>
      <c r="BA347" s="44">
        <f t="shared" si="301"/>
        <v>0</v>
      </c>
      <c r="BB347" s="44">
        <f t="shared" si="301"/>
        <v>0</v>
      </c>
      <c r="BC347" s="44">
        <f t="shared" si="301"/>
        <v>0</v>
      </c>
      <c r="BD347" s="45">
        <f t="shared" si="301"/>
        <v>0</v>
      </c>
      <c r="BE347" s="45">
        <f t="shared" si="301"/>
        <v>0</v>
      </c>
      <c r="BF347" s="45">
        <f t="shared" si="301"/>
        <v>0</v>
      </c>
      <c r="BG347" s="45">
        <f t="shared" si="301"/>
        <v>0</v>
      </c>
      <c r="BH347" s="368"/>
    </row>
    <row r="348" spans="1:60" s="116" customFormat="1" hidden="1" outlineLevel="1" x14ac:dyDescent="0.25">
      <c r="A348" s="436" t="s">
        <v>748</v>
      </c>
      <c r="B348" s="531"/>
      <c r="C348" s="33">
        <f t="shared" ref="C348:AH348" si="302">C343-C347</f>
        <v>-51.897000000000006</v>
      </c>
      <c r="D348" s="33">
        <f t="shared" si="302"/>
        <v>-146.83799999999999</v>
      </c>
      <c r="E348" s="33">
        <f t="shared" si="302"/>
        <v>-251.48799999999994</v>
      </c>
      <c r="F348" s="33">
        <f t="shared" si="302"/>
        <v>-394.28300000000002</v>
      </c>
      <c r="G348" s="368">
        <f t="shared" si="302"/>
        <v>-5.5839999999999463</v>
      </c>
      <c r="H348" s="368">
        <f t="shared" si="302"/>
        <v>-11.792000000000002</v>
      </c>
      <c r="I348" s="368">
        <f t="shared" si="302"/>
        <v>-30.554000000000002</v>
      </c>
      <c r="J348" s="368">
        <f t="shared" si="302"/>
        <v>-13.352999999999952</v>
      </c>
      <c r="K348" s="33">
        <f t="shared" si="302"/>
        <v>-61.282999999999902</v>
      </c>
      <c r="L348" s="368">
        <f t="shared" si="302"/>
        <v>-43.967000000000013</v>
      </c>
      <c r="M348" s="368">
        <f t="shared" si="302"/>
        <v>-28.7530000000001</v>
      </c>
      <c r="N348" s="368">
        <f t="shared" si="302"/>
        <v>-39.129000000000019</v>
      </c>
      <c r="O348" s="368">
        <f t="shared" si="302"/>
        <v>-74.838000000000079</v>
      </c>
      <c r="P348" s="33">
        <f t="shared" si="302"/>
        <v>-186.68899999999962</v>
      </c>
      <c r="Q348" s="368">
        <f t="shared" si="302"/>
        <v>-102.44599999999991</v>
      </c>
      <c r="R348" s="368">
        <f t="shared" si="302"/>
        <v>-170.18799999999999</v>
      </c>
      <c r="S348" s="368">
        <f t="shared" si="302"/>
        <v>-183.66200000000003</v>
      </c>
      <c r="T348" s="368">
        <f t="shared" si="302"/>
        <v>-260.33299999999991</v>
      </c>
      <c r="U348" s="33">
        <f t="shared" si="302"/>
        <v>-716.62899999999991</v>
      </c>
      <c r="V348" s="368">
        <f t="shared" si="302"/>
        <v>-248.22400000000005</v>
      </c>
      <c r="W348" s="368">
        <f t="shared" si="302"/>
        <v>-238.03999999999996</v>
      </c>
      <c r="X348" s="368">
        <f t="shared" si="302"/>
        <v>85.62199999999973</v>
      </c>
      <c r="Y348" s="368">
        <f t="shared" si="302"/>
        <v>-266.69800000000021</v>
      </c>
      <c r="Z348" s="33">
        <f t="shared" si="302"/>
        <v>-667.3400000000006</v>
      </c>
      <c r="AA348" s="368">
        <f t="shared" si="302"/>
        <v>-257.54899999999998</v>
      </c>
      <c r="AB348" s="368">
        <f t="shared" si="302"/>
        <v>-240.91600000000017</v>
      </c>
      <c r="AC348" s="368">
        <f t="shared" si="302"/>
        <v>-535.47999999999979</v>
      </c>
      <c r="AD348" s="368">
        <f t="shared" si="302"/>
        <v>-598.14100000000076</v>
      </c>
      <c r="AE348" s="33">
        <f t="shared" si="302"/>
        <v>-1632.0859999999993</v>
      </c>
      <c r="AF348" s="368">
        <f t="shared" si="302"/>
        <v>-596.97400000000016</v>
      </c>
      <c r="AG348" s="368">
        <f t="shared" si="302"/>
        <v>-621.39200000000096</v>
      </c>
      <c r="AH348" s="368">
        <f t="shared" si="302"/>
        <v>416.75700000000006</v>
      </c>
      <c r="AI348" s="368">
        <f t="shared" ref="AI348:AY348" si="303">AI343-AI347</f>
        <v>413.53600000000051</v>
      </c>
      <c r="AJ348" s="33">
        <f t="shared" si="303"/>
        <v>-388.07299999999941</v>
      </c>
      <c r="AK348" s="368">
        <f t="shared" si="303"/>
        <v>-521.83100000000013</v>
      </c>
      <c r="AL348" s="368">
        <f t="shared" si="303"/>
        <v>-167.45800000000054</v>
      </c>
      <c r="AM348" s="368">
        <f t="shared" si="303"/>
        <v>261</v>
      </c>
      <c r="AN348" s="368">
        <f t="shared" si="303"/>
        <v>359.28899999999953</v>
      </c>
      <c r="AO348" s="33">
        <f t="shared" si="303"/>
        <v>-69</v>
      </c>
      <c r="AP348" s="368">
        <f t="shared" si="303"/>
        <v>283</v>
      </c>
      <c r="AQ348" s="368">
        <f t="shared" si="303"/>
        <v>327</v>
      </c>
      <c r="AR348" s="368">
        <f>AR343-AR347</f>
        <v>809</v>
      </c>
      <c r="AS348" s="368">
        <f>AS343-AS347</f>
        <v>575</v>
      </c>
      <c r="AT348" s="33">
        <f>AT343-AT347</f>
        <v>1994</v>
      </c>
      <c r="AU348" s="368">
        <f t="shared" ref="AU348" si="304">AU343-AU347</f>
        <v>594</v>
      </c>
      <c r="AV348" s="368">
        <f>AV343-AV347</f>
        <v>1312</v>
      </c>
      <c r="AW348" s="846">
        <f>AW343-AW347</f>
        <v>2004</v>
      </c>
      <c r="AX348" s="437">
        <f t="shared" si="303"/>
        <v>0</v>
      </c>
      <c r="AY348" s="438">
        <f t="shared" si="303"/>
        <v>0</v>
      </c>
      <c r="AZ348" s="437">
        <f t="shared" ref="AZ348:BG348" si="305">AZ343-AZ347</f>
        <v>0</v>
      </c>
      <c r="BA348" s="437">
        <f t="shared" si="305"/>
        <v>0</v>
      </c>
      <c r="BB348" s="437">
        <f t="shared" si="305"/>
        <v>0</v>
      </c>
      <c r="BC348" s="437">
        <f t="shared" si="305"/>
        <v>0</v>
      </c>
      <c r="BD348" s="438">
        <f t="shared" si="305"/>
        <v>0</v>
      </c>
      <c r="BE348" s="438">
        <f t="shared" si="305"/>
        <v>0</v>
      </c>
      <c r="BF348" s="438">
        <f t="shared" si="305"/>
        <v>0</v>
      </c>
      <c r="BG348" s="438">
        <f t="shared" si="305"/>
        <v>0</v>
      </c>
      <c r="BH348" s="368"/>
    </row>
    <row r="349" spans="1:60" s="356" customFormat="1" hidden="1" outlineLevel="1" x14ac:dyDescent="0.25">
      <c r="A349" s="360" t="s">
        <v>94</v>
      </c>
      <c r="B349" s="450"/>
      <c r="C349" s="35">
        <v>0.159</v>
      </c>
      <c r="D349" s="35">
        <v>0.25800000000000001</v>
      </c>
      <c r="E349" s="35">
        <v>0.255</v>
      </c>
      <c r="F349" s="35">
        <v>0.28799999999999998</v>
      </c>
      <c r="G349" s="361">
        <v>0.01</v>
      </c>
      <c r="H349" s="361">
        <v>3.9E-2</v>
      </c>
      <c r="I349" s="361">
        <v>6.8000000000000005E-2</v>
      </c>
      <c r="J349" s="361">
        <f>K349-I349-H349-G349</f>
        <v>7.1999999999999995E-2</v>
      </c>
      <c r="K349" s="35">
        <v>0.189</v>
      </c>
      <c r="L349" s="361">
        <v>0.14099999999999999</v>
      </c>
      <c r="M349" s="361">
        <v>0.46700000000000003</v>
      </c>
      <c r="N349" s="361">
        <v>0.3</v>
      </c>
      <c r="O349" s="361">
        <v>0.219</v>
      </c>
      <c r="P349" s="35">
        <v>1.1259999999999999</v>
      </c>
      <c r="Q349" s="361">
        <v>0.184</v>
      </c>
      <c r="R349" s="361">
        <v>0.247</v>
      </c>
      <c r="S349" s="361">
        <v>0.32700000000000001</v>
      </c>
      <c r="T349" s="361">
        <v>0.75</v>
      </c>
      <c r="U349" s="35">
        <v>1.508</v>
      </c>
      <c r="V349" s="361">
        <v>1.2509999999999999</v>
      </c>
      <c r="W349" s="361">
        <v>2.242</v>
      </c>
      <c r="X349" s="361">
        <v>2.8580000000000001</v>
      </c>
      <c r="Y349" s="361">
        <v>2.1789999999999998</v>
      </c>
      <c r="Z349" s="35">
        <v>8.5299999999999994</v>
      </c>
      <c r="AA349" s="361">
        <v>3.09</v>
      </c>
      <c r="AB349" s="361">
        <v>4.7850000000000001</v>
      </c>
      <c r="AC349" s="361">
        <v>5.5309999999999997</v>
      </c>
      <c r="AD349" s="361">
        <v>6.28</v>
      </c>
      <c r="AE349" s="35">
        <v>19.686</v>
      </c>
      <c r="AF349" s="361">
        <v>5.2140000000000004</v>
      </c>
      <c r="AG349" s="361">
        <v>5.0640000000000001</v>
      </c>
      <c r="AH349" s="361">
        <v>6.907</v>
      </c>
      <c r="AI349" s="361">
        <f>AJ349-SUM(AF349,AG349,AH349)</f>
        <v>7.347999999999999</v>
      </c>
      <c r="AJ349" s="35">
        <v>24.533000000000001</v>
      </c>
      <c r="AK349" s="361">
        <v>8.7620000000000005</v>
      </c>
      <c r="AL349" s="361">
        <v>10.362</v>
      </c>
      <c r="AM349" s="361">
        <v>15</v>
      </c>
      <c r="AN349" s="361">
        <f>AO349-SUM(AK349,AL349,AM349)</f>
        <v>9.8759999999999977</v>
      </c>
      <c r="AO349" s="35">
        <v>44</v>
      </c>
      <c r="AP349" s="361">
        <v>10</v>
      </c>
      <c r="AQ349" s="361">
        <v>8</v>
      </c>
      <c r="AR349" s="361">
        <v>6</v>
      </c>
      <c r="AS349" s="361">
        <f>AT349-SUM(AP349,AQ349,AR349)</f>
        <v>6</v>
      </c>
      <c r="AT349" s="35">
        <v>30</v>
      </c>
      <c r="AU349" s="361">
        <v>10</v>
      </c>
      <c r="AV349" s="361">
        <v>11</v>
      </c>
      <c r="AW349" s="998">
        <v>10</v>
      </c>
      <c r="AX349" s="439"/>
      <c r="AY349" s="440"/>
      <c r="AZ349" s="439"/>
      <c r="BA349" s="439"/>
      <c r="BB349" s="439"/>
      <c r="BC349" s="439"/>
      <c r="BD349" s="440"/>
      <c r="BE349" s="440"/>
      <c r="BF349" s="440"/>
      <c r="BG349" s="440"/>
      <c r="BH349" s="361"/>
    </row>
    <row r="350" spans="1:60" s="356" customFormat="1" hidden="1" outlineLevel="1" x14ac:dyDescent="0.25">
      <c r="A350" s="360" t="s">
        <v>95</v>
      </c>
      <c r="B350" s="450"/>
      <c r="C350" s="35">
        <v>-2.5310000000000001</v>
      </c>
      <c r="D350" s="35">
        <v>-0.99199999999999999</v>
      </c>
      <c r="E350" s="35">
        <v>-4.2999999999999997E-2</v>
      </c>
      <c r="F350" s="35">
        <v>-0.254</v>
      </c>
      <c r="G350" s="361">
        <v>-0.11799999999999999</v>
      </c>
      <c r="H350" s="361">
        <v>-20.116</v>
      </c>
      <c r="I350" s="361">
        <v>-6.492</v>
      </c>
      <c r="J350" s="361">
        <f>K350-I350-H350-G350</f>
        <v>-6.2079999999999966</v>
      </c>
      <c r="K350" s="35">
        <v>-32.933999999999997</v>
      </c>
      <c r="L350" s="361">
        <v>-11.882999999999999</v>
      </c>
      <c r="M350" s="361">
        <v>-31.238</v>
      </c>
      <c r="N350" s="361">
        <v>-29.062000000000001</v>
      </c>
      <c r="O350" s="361">
        <v>-28.702999999999999</v>
      </c>
      <c r="P350" s="35">
        <v>-100.886</v>
      </c>
      <c r="Q350" s="361">
        <v>-26.574000000000002</v>
      </c>
      <c r="R350" s="361">
        <v>-24.352</v>
      </c>
      <c r="S350" s="361">
        <v>-29.308</v>
      </c>
      <c r="T350" s="361">
        <v>-38.616999999999997</v>
      </c>
      <c r="U350" s="35">
        <v>-118.851</v>
      </c>
      <c r="V350" s="361">
        <v>-40.625</v>
      </c>
      <c r="W350" s="361">
        <v>-46.368000000000002</v>
      </c>
      <c r="X350" s="361">
        <v>-46.713000000000001</v>
      </c>
      <c r="Y350" s="361">
        <v>-65.103999999999999</v>
      </c>
      <c r="Z350" s="35">
        <v>-198.81</v>
      </c>
      <c r="AA350" s="361">
        <v>-99.346000000000004</v>
      </c>
      <c r="AB350" s="361">
        <v>-108.441</v>
      </c>
      <c r="AC350" s="361">
        <v>-117.10899999999999</v>
      </c>
      <c r="AD350" s="361">
        <v>-146.363</v>
      </c>
      <c r="AE350" s="35">
        <v>-471.25900000000001</v>
      </c>
      <c r="AF350" s="361">
        <v>-149.54599999999999</v>
      </c>
      <c r="AG350" s="361">
        <v>-163.58199999999999</v>
      </c>
      <c r="AH350" s="361">
        <v>-175.22</v>
      </c>
      <c r="AI350" s="361">
        <f>AJ350-SUM(AF350,AG350,AH350)</f>
        <v>-174.72300000000007</v>
      </c>
      <c r="AJ350" s="35">
        <v>-663.07100000000003</v>
      </c>
      <c r="AK350" s="361">
        <v>-157.453</v>
      </c>
      <c r="AL350" s="361">
        <v>-171.97900000000001</v>
      </c>
      <c r="AM350" s="361">
        <v>-185</v>
      </c>
      <c r="AN350" s="361">
        <f>AO350-SUM(AK350,AL350,AM350)</f>
        <v>-170.56799999999998</v>
      </c>
      <c r="AO350" s="35">
        <v>-685</v>
      </c>
      <c r="AP350" s="361">
        <v>-169</v>
      </c>
      <c r="AQ350" s="361">
        <v>-170</v>
      </c>
      <c r="AR350" s="361">
        <v>-163</v>
      </c>
      <c r="AS350" s="361">
        <f>AT350-SUM(AP350,AQ350,AR350)</f>
        <v>-246</v>
      </c>
      <c r="AT350" s="35">
        <v>-748</v>
      </c>
      <c r="AU350" s="361">
        <v>-99</v>
      </c>
      <c r="AV350" s="361">
        <v>-75</v>
      </c>
      <c r="AW350" s="998">
        <v>-126</v>
      </c>
      <c r="AX350" s="439"/>
      <c r="AY350" s="440"/>
      <c r="AZ350" s="439"/>
      <c r="BA350" s="439"/>
      <c r="BB350" s="439"/>
      <c r="BC350" s="439"/>
      <c r="BD350" s="440"/>
      <c r="BE350" s="440"/>
      <c r="BF350" s="440"/>
      <c r="BG350" s="440"/>
      <c r="BH350" s="361"/>
    </row>
    <row r="351" spans="1:60" s="356" customFormat="1" hidden="1" outlineLevel="1" x14ac:dyDescent="0.25">
      <c r="A351" s="533" t="s">
        <v>96</v>
      </c>
      <c r="B351" s="527"/>
      <c r="C351" s="261">
        <v>-1.4450000000000001</v>
      </c>
      <c r="D351" s="261">
        <v>-6.5830000000000002</v>
      </c>
      <c r="E351" s="261">
        <v>-2.6459999999999999</v>
      </c>
      <c r="F351" s="261">
        <v>-1.8280000000000001</v>
      </c>
      <c r="G351" s="262">
        <v>17.091000000000001</v>
      </c>
      <c r="H351" s="262">
        <v>1.6679999999999999</v>
      </c>
      <c r="I351" s="262">
        <v>-0.74</v>
      </c>
      <c r="J351" s="262">
        <f>K351-I351-H351-G351</f>
        <v>4.5829999999999984</v>
      </c>
      <c r="K351" s="261">
        <v>22.602</v>
      </c>
      <c r="L351" s="262">
        <v>6.718</v>
      </c>
      <c r="M351" s="262">
        <v>-1.226</v>
      </c>
      <c r="N351" s="262">
        <v>-3.09</v>
      </c>
      <c r="O351" s="262">
        <v>-0.58799999999999997</v>
      </c>
      <c r="P351" s="261">
        <v>1.8129999999999999</v>
      </c>
      <c r="Q351" s="262">
        <v>-22.305</v>
      </c>
      <c r="R351" s="262">
        <v>13.233000000000001</v>
      </c>
      <c r="S351" s="262">
        <v>-15.430999999999999</v>
      </c>
      <c r="T351" s="262">
        <v>-17.149000000000001</v>
      </c>
      <c r="U351" s="261">
        <v>-41.652000000000001</v>
      </c>
      <c r="V351" s="262">
        <v>9.1769999999999996</v>
      </c>
      <c r="W351" s="262">
        <v>-7.3730000000000002</v>
      </c>
      <c r="X351" s="262">
        <v>-11.756</v>
      </c>
      <c r="Y351" s="262">
        <v>121.224</v>
      </c>
      <c r="Z351" s="261">
        <v>111.27200000000001</v>
      </c>
      <c r="AA351" s="262">
        <v>-18.097999999999999</v>
      </c>
      <c r="AB351" s="262">
        <v>-41.207999999999998</v>
      </c>
      <c r="AC351" s="262">
        <v>-24.39</v>
      </c>
      <c r="AD351" s="262">
        <v>-41.677</v>
      </c>
      <c r="AE351" s="261">
        <v>-125.373</v>
      </c>
      <c r="AF351" s="262">
        <v>-37.716000000000001</v>
      </c>
      <c r="AG351" s="262">
        <v>50.911000000000001</v>
      </c>
      <c r="AH351" s="262">
        <v>22.876000000000001</v>
      </c>
      <c r="AI351" s="262">
        <f>AJ351-SUM(AF351,AG351,AH351)</f>
        <v>-14.204999999999998</v>
      </c>
      <c r="AJ351" s="261">
        <v>21.866</v>
      </c>
      <c r="AK351" s="262">
        <v>25.75</v>
      </c>
      <c r="AL351" s="262">
        <v>-40.756</v>
      </c>
      <c r="AM351" s="262">
        <v>85</v>
      </c>
      <c r="AN351" s="262">
        <f>AO351-SUM(AK351,AL351,AM351)</f>
        <v>-24.994</v>
      </c>
      <c r="AO351" s="261">
        <v>45</v>
      </c>
      <c r="AP351" s="262">
        <v>-54</v>
      </c>
      <c r="AQ351" s="262">
        <v>-15</v>
      </c>
      <c r="AR351" s="262">
        <v>-97</v>
      </c>
      <c r="AS351" s="262">
        <f>AT351-SUM(AP351,AQ351,AR351)</f>
        <v>44</v>
      </c>
      <c r="AT351" s="261">
        <v>-122</v>
      </c>
      <c r="AU351" s="262">
        <v>28</v>
      </c>
      <c r="AV351" s="262">
        <v>45</v>
      </c>
      <c r="AW351" s="999">
        <v>-6</v>
      </c>
      <c r="AX351" s="459"/>
      <c r="AY351" s="479"/>
      <c r="AZ351" s="459"/>
      <c r="BA351" s="459"/>
      <c r="BB351" s="459"/>
      <c r="BC351" s="459"/>
      <c r="BD351" s="479"/>
      <c r="BE351" s="479"/>
      <c r="BF351" s="479"/>
      <c r="BG351" s="479"/>
      <c r="BH351" s="361"/>
    </row>
    <row r="352" spans="1:60" s="116" customFormat="1" hidden="1" outlineLevel="1" x14ac:dyDescent="0.25">
      <c r="A352" s="86" t="s">
        <v>678</v>
      </c>
      <c r="B352" s="529"/>
      <c r="C352" s="29">
        <f t="shared" ref="C352:AH352" si="306">C348+SUM(C349:C351)</f>
        <v>-55.714000000000006</v>
      </c>
      <c r="D352" s="29">
        <f t="shared" si="306"/>
        <v>-154.155</v>
      </c>
      <c r="E352" s="29">
        <f t="shared" si="306"/>
        <v>-253.92199999999994</v>
      </c>
      <c r="F352" s="29">
        <f t="shared" si="306"/>
        <v>-396.077</v>
      </c>
      <c r="G352" s="30">
        <f t="shared" si="306"/>
        <v>11.399000000000054</v>
      </c>
      <c r="H352" s="30">
        <f t="shared" si="306"/>
        <v>-30.201000000000001</v>
      </c>
      <c r="I352" s="30">
        <f t="shared" si="306"/>
        <v>-37.718000000000004</v>
      </c>
      <c r="J352" s="30">
        <f t="shared" si="306"/>
        <v>-14.905999999999949</v>
      </c>
      <c r="K352" s="29">
        <f t="shared" si="306"/>
        <v>-71.425999999999902</v>
      </c>
      <c r="L352" s="30">
        <f t="shared" si="306"/>
        <v>-48.991000000000014</v>
      </c>
      <c r="M352" s="30">
        <f t="shared" si="306"/>
        <v>-60.750000000000099</v>
      </c>
      <c r="N352" s="30">
        <f t="shared" si="306"/>
        <v>-70.981000000000023</v>
      </c>
      <c r="O352" s="30">
        <f t="shared" si="306"/>
        <v>-103.91000000000008</v>
      </c>
      <c r="P352" s="29">
        <f t="shared" si="306"/>
        <v>-284.63599999999963</v>
      </c>
      <c r="Q352" s="30">
        <f t="shared" si="306"/>
        <v>-151.14099999999991</v>
      </c>
      <c r="R352" s="30">
        <f t="shared" si="306"/>
        <v>-181.06</v>
      </c>
      <c r="S352" s="30">
        <f t="shared" si="306"/>
        <v>-228.07400000000004</v>
      </c>
      <c r="T352" s="30">
        <f t="shared" si="306"/>
        <v>-315.34899999999993</v>
      </c>
      <c r="U352" s="29">
        <f t="shared" si="306"/>
        <v>-875.62399999999991</v>
      </c>
      <c r="V352" s="30">
        <f t="shared" si="306"/>
        <v>-278.42100000000005</v>
      </c>
      <c r="W352" s="30">
        <f t="shared" si="306"/>
        <v>-289.53899999999999</v>
      </c>
      <c r="X352" s="30">
        <f t="shared" si="306"/>
        <v>30.010999999999726</v>
      </c>
      <c r="Y352" s="30">
        <f t="shared" si="306"/>
        <v>-208.3990000000002</v>
      </c>
      <c r="Z352" s="29">
        <f t="shared" si="306"/>
        <v>-746.34800000000064</v>
      </c>
      <c r="AA352" s="30">
        <f t="shared" si="306"/>
        <v>-371.90299999999996</v>
      </c>
      <c r="AB352" s="30">
        <f t="shared" si="306"/>
        <v>-385.7800000000002</v>
      </c>
      <c r="AC352" s="30">
        <f t="shared" si="306"/>
        <v>-671.44799999999975</v>
      </c>
      <c r="AD352" s="30">
        <f t="shared" si="306"/>
        <v>-779.90100000000075</v>
      </c>
      <c r="AE352" s="29">
        <f t="shared" si="306"/>
        <v>-2209.0319999999992</v>
      </c>
      <c r="AF352" s="30">
        <f t="shared" si="306"/>
        <v>-779.02200000000016</v>
      </c>
      <c r="AG352" s="30">
        <f t="shared" si="306"/>
        <v>-728.99900000000093</v>
      </c>
      <c r="AH352" s="30">
        <f t="shared" si="306"/>
        <v>271.32000000000005</v>
      </c>
      <c r="AI352" s="30">
        <f t="shared" ref="AI352:AY352" si="307">AI348+SUM(AI349:AI351)</f>
        <v>231.95600000000047</v>
      </c>
      <c r="AJ352" s="29">
        <f t="shared" si="307"/>
        <v>-1004.7449999999994</v>
      </c>
      <c r="AK352" s="30">
        <f t="shared" si="307"/>
        <v>-644.77200000000016</v>
      </c>
      <c r="AL352" s="30">
        <f t="shared" si="307"/>
        <v>-369.83100000000059</v>
      </c>
      <c r="AM352" s="30">
        <f t="shared" si="307"/>
        <v>176</v>
      </c>
      <c r="AN352" s="30">
        <f t="shared" si="307"/>
        <v>173.60299999999955</v>
      </c>
      <c r="AO352" s="29">
        <f t="shared" si="307"/>
        <v>-665</v>
      </c>
      <c r="AP352" s="30">
        <f t="shared" si="307"/>
        <v>70</v>
      </c>
      <c r="AQ352" s="30">
        <f t="shared" si="307"/>
        <v>150</v>
      </c>
      <c r="AR352" s="30">
        <f>AR348+SUM(AR349:AR351)</f>
        <v>555</v>
      </c>
      <c r="AS352" s="30">
        <f>AS348+SUM(AS349:AS351)</f>
        <v>379</v>
      </c>
      <c r="AT352" s="29">
        <f>AT348+SUM(AT349:AT351)</f>
        <v>1154</v>
      </c>
      <c r="AU352" s="30">
        <f t="shared" ref="AU352" si="308">AU348+SUM(AU349:AU351)</f>
        <v>533</v>
      </c>
      <c r="AV352" s="30">
        <f>AV348+SUM(AV349:AV351)</f>
        <v>1293</v>
      </c>
      <c r="AW352" s="724">
        <f>AW348+SUM(AW349:AW351)</f>
        <v>1882</v>
      </c>
      <c r="AX352" s="44">
        <f t="shared" si="307"/>
        <v>0</v>
      </c>
      <c r="AY352" s="45">
        <f t="shared" si="307"/>
        <v>0</v>
      </c>
      <c r="AZ352" s="44">
        <f t="shared" ref="AZ352:BG352" si="309">AZ348+SUM(AZ349:AZ351)</f>
        <v>0</v>
      </c>
      <c r="BA352" s="44">
        <f t="shared" si="309"/>
        <v>0</v>
      </c>
      <c r="BB352" s="44">
        <f t="shared" si="309"/>
        <v>0</v>
      </c>
      <c r="BC352" s="44">
        <f t="shared" si="309"/>
        <v>0</v>
      </c>
      <c r="BD352" s="45">
        <f t="shared" si="309"/>
        <v>0</v>
      </c>
      <c r="BE352" s="45">
        <f t="shared" si="309"/>
        <v>0</v>
      </c>
      <c r="BF352" s="45">
        <f t="shared" si="309"/>
        <v>0</v>
      </c>
      <c r="BG352" s="45">
        <f t="shared" si="309"/>
        <v>0</v>
      </c>
      <c r="BH352" s="368"/>
    </row>
    <row r="353" spans="1:60" s="356" customFormat="1" hidden="1" outlineLevel="1" x14ac:dyDescent="0.25">
      <c r="A353" s="533" t="s">
        <v>97</v>
      </c>
      <c r="B353" s="527"/>
      <c r="C353" s="261">
        <v>2.5999999999999999E-2</v>
      </c>
      <c r="D353" s="261">
        <v>0.17299999999999999</v>
      </c>
      <c r="E353" s="261">
        <v>0.48899999999999999</v>
      </c>
      <c r="F353" s="261">
        <v>0.13600000000000001</v>
      </c>
      <c r="G353" s="262">
        <v>0.151</v>
      </c>
      <c r="H353" s="262">
        <v>0.30099999999999999</v>
      </c>
      <c r="I353" s="262">
        <v>0.77800000000000002</v>
      </c>
      <c r="J353" s="262">
        <f>K353-I353-H353-G353</f>
        <v>1.3580000000000001</v>
      </c>
      <c r="K353" s="261">
        <v>2.5880000000000001</v>
      </c>
      <c r="L353" s="262">
        <v>0.80900000000000005</v>
      </c>
      <c r="M353" s="262">
        <v>1.1499999999999999</v>
      </c>
      <c r="N353" s="262">
        <v>3.7269999999999999</v>
      </c>
      <c r="O353" s="262">
        <v>3.7189999999999999</v>
      </c>
      <c r="P353" s="261">
        <v>9.4039999999999999</v>
      </c>
      <c r="Q353" s="262">
        <v>3.04</v>
      </c>
      <c r="R353" s="262">
        <v>3.1669999999999998</v>
      </c>
      <c r="S353" s="262">
        <v>1.784</v>
      </c>
      <c r="T353" s="262">
        <v>5.048</v>
      </c>
      <c r="U353" s="261">
        <v>13.039</v>
      </c>
      <c r="V353" s="262">
        <v>3.8460000000000001</v>
      </c>
      <c r="W353" s="262">
        <v>3.649</v>
      </c>
      <c r="X353" s="262">
        <v>8.1329999999999991</v>
      </c>
      <c r="Y353" s="262">
        <v>11.07</v>
      </c>
      <c r="Z353" s="261">
        <v>26.698</v>
      </c>
      <c r="AA353" s="262">
        <v>25.277999999999999</v>
      </c>
      <c r="AB353" s="262">
        <v>15.647</v>
      </c>
      <c r="AC353" s="262">
        <v>-0.28499999999999998</v>
      </c>
      <c r="AD353" s="262">
        <v>-9.0939999999999994</v>
      </c>
      <c r="AE353" s="261">
        <v>31.545999999999999</v>
      </c>
      <c r="AF353" s="262">
        <v>5.6050000000000004</v>
      </c>
      <c r="AG353" s="262">
        <v>13.707000000000001</v>
      </c>
      <c r="AH353" s="262">
        <v>16.646999999999998</v>
      </c>
      <c r="AI353" s="262">
        <f>AJ353-SUM(AF353,AG353,AH353)</f>
        <v>21.878</v>
      </c>
      <c r="AJ353" s="261">
        <v>57.837000000000003</v>
      </c>
      <c r="AK353" s="262">
        <v>22.873000000000001</v>
      </c>
      <c r="AL353" s="262">
        <v>19.431000000000001</v>
      </c>
      <c r="AM353" s="262">
        <v>26</v>
      </c>
      <c r="AN353" s="262">
        <f>AO353-SUM(AK353,AL353,AM353)</f>
        <v>41.695999999999998</v>
      </c>
      <c r="AO353" s="261">
        <v>110</v>
      </c>
      <c r="AP353" s="262">
        <v>2</v>
      </c>
      <c r="AQ353" s="262">
        <v>21</v>
      </c>
      <c r="AR353" s="262">
        <v>186</v>
      </c>
      <c r="AS353" s="262">
        <f>AT353-SUM(AP353,AQ353,AR353)</f>
        <v>83</v>
      </c>
      <c r="AT353" s="261">
        <v>292</v>
      </c>
      <c r="AU353" s="262">
        <v>69</v>
      </c>
      <c r="AV353" s="262">
        <v>115</v>
      </c>
      <c r="AW353" s="999">
        <v>223</v>
      </c>
      <c r="AX353" s="459"/>
      <c r="AY353" s="479"/>
      <c r="AZ353" s="459"/>
      <c r="BA353" s="459"/>
      <c r="BB353" s="459"/>
      <c r="BC353" s="459"/>
      <c r="BD353" s="479"/>
      <c r="BE353" s="479"/>
      <c r="BF353" s="479"/>
      <c r="BG353" s="479"/>
      <c r="BH353" s="361"/>
    </row>
    <row r="354" spans="1:60" s="116" customFormat="1" hidden="1" outlineLevel="1" x14ac:dyDescent="0.25">
      <c r="A354" s="535" t="s">
        <v>102</v>
      </c>
      <c r="B354" s="660"/>
      <c r="C354" s="536">
        <f t="shared" ref="C354:AH354" si="310">C352-C353</f>
        <v>-55.740000000000009</v>
      </c>
      <c r="D354" s="536">
        <f t="shared" si="310"/>
        <v>-154.328</v>
      </c>
      <c r="E354" s="536">
        <f t="shared" si="310"/>
        <v>-254.41099999999994</v>
      </c>
      <c r="F354" s="536">
        <f t="shared" si="310"/>
        <v>-396.21300000000002</v>
      </c>
      <c r="G354" s="537">
        <f t="shared" si="310"/>
        <v>11.248000000000054</v>
      </c>
      <c r="H354" s="537">
        <f t="shared" si="310"/>
        <v>-30.501999999999999</v>
      </c>
      <c r="I354" s="537">
        <f t="shared" si="310"/>
        <v>-38.496000000000002</v>
      </c>
      <c r="J354" s="537">
        <f t="shared" si="310"/>
        <v>-16.26399999999995</v>
      </c>
      <c r="K354" s="536">
        <f t="shared" si="310"/>
        <v>-74.013999999999896</v>
      </c>
      <c r="L354" s="537">
        <f t="shared" si="310"/>
        <v>-49.800000000000011</v>
      </c>
      <c r="M354" s="537">
        <f t="shared" si="310"/>
        <v>-61.900000000000098</v>
      </c>
      <c r="N354" s="537">
        <f t="shared" si="310"/>
        <v>-74.708000000000027</v>
      </c>
      <c r="O354" s="537">
        <f t="shared" si="310"/>
        <v>-107.62900000000008</v>
      </c>
      <c r="P354" s="536">
        <f t="shared" si="310"/>
        <v>-294.03999999999962</v>
      </c>
      <c r="Q354" s="537">
        <f t="shared" si="310"/>
        <v>-154.1809999999999</v>
      </c>
      <c r="R354" s="537">
        <f t="shared" si="310"/>
        <v>-184.227</v>
      </c>
      <c r="S354" s="537">
        <f t="shared" si="310"/>
        <v>-229.85800000000003</v>
      </c>
      <c r="T354" s="537">
        <f t="shared" si="310"/>
        <v>-320.39699999999993</v>
      </c>
      <c r="U354" s="536">
        <f t="shared" si="310"/>
        <v>-888.6629999999999</v>
      </c>
      <c r="V354" s="537">
        <f t="shared" si="310"/>
        <v>-282.26700000000005</v>
      </c>
      <c r="W354" s="537">
        <f t="shared" si="310"/>
        <v>-293.18799999999999</v>
      </c>
      <c r="X354" s="537">
        <f t="shared" si="310"/>
        <v>21.877999999999727</v>
      </c>
      <c r="Y354" s="537">
        <f t="shared" si="310"/>
        <v>-219.46900000000019</v>
      </c>
      <c r="Z354" s="536">
        <f t="shared" si="310"/>
        <v>-773.04600000000062</v>
      </c>
      <c r="AA354" s="537">
        <f t="shared" si="310"/>
        <v>-397.18099999999998</v>
      </c>
      <c r="AB354" s="537">
        <f t="shared" si="310"/>
        <v>-401.42700000000019</v>
      </c>
      <c r="AC354" s="537">
        <f t="shared" si="310"/>
        <v>-671.16299999999978</v>
      </c>
      <c r="AD354" s="537">
        <f t="shared" si="310"/>
        <v>-770.8070000000007</v>
      </c>
      <c r="AE354" s="536">
        <f t="shared" si="310"/>
        <v>-2240.5779999999991</v>
      </c>
      <c r="AF354" s="537">
        <f t="shared" si="310"/>
        <v>-784.62700000000018</v>
      </c>
      <c r="AG354" s="537">
        <f t="shared" si="310"/>
        <v>-742.70600000000093</v>
      </c>
      <c r="AH354" s="537">
        <f t="shared" si="310"/>
        <v>254.67300000000006</v>
      </c>
      <c r="AI354" s="537">
        <f t="shared" ref="AI354:AY354" si="311">AI352-AI353</f>
        <v>210.07800000000049</v>
      </c>
      <c r="AJ354" s="536">
        <f t="shared" si="311"/>
        <v>-1062.5819999999994</v>
      </c>
      <c r="AK354" s="537">
        <f t="shared" si="311"/>
        <v>-667.64500000000021</v>
      </c>
      <c r="AL354" s="537">
        <f t="shared" si="311"/>
        <v>-389.26200000000057</v>
      </c>
      <c r="AM354" s="537">
        <f t="shared" si="311"/>
        <v>150</v>
      </c>
      <c r="AN354" s="537">
        <f t="shared" si="311"/>
        <v>131.90699999999956</v>
      </c>
      <c r="AO354" s="536">
        <f t="shared" si="311"/>
        <v>-775</v>
      </c>
      <c r="AP354" s="537">
        <f t="shared" si="311"/>
        <v>68</v>
      </c>
      <c r="AQ354" s="537">
        <f t="shared" si="311"/>
        <v>129</v>
      </c>
      <c r="AR354" s="537">
        <f>AR352-AR353</f>
        <v>369</v>
      </c>
      <c r="AS354" s="537">
        <f>AS352-AS353</f>
        <v>296</v>
      </c>
      <c r="AT354" s="536">
        <f>AT352-AT353</f>
        <v>862</v>
      </c>
      <c r="AU354" s="537">
        <f t="shared" ref="AU354" si="312">AU352-AU353</f>
        <v>464</v>
      </c>
      <c r="AV354" s="537">
        <f>AV352-AV353</f>
        <v>1178</v>
      </c>
      <c r="AW354" s="847">
        <f>AW352-AW353</f>
        <v>1659</v>
      </c>
      <c r="AX354" s="538">
        <f t="shared" si="311"/>
        <v>0</v>
      </c>
      <c r="AY354" s="539">
        <f t="shared" si="311"/>
        <v>0</v>
      </c>
      <c r="AZ354" s="538">
        <f t="shared" ref="AZ354:BG354" si="313">AZ352-AZ353</f>
        <v>0</v>
      </c>
      <c r="BA354" s="538">
        <f t="shared" si="313"/>
        <v>0</v>
      </c>
      <c r="BB354" s="538">
        <f t="shared" si="313"/>
        <v>0</v>
      </c>
      <c r="BC354" s="538">
        <f t="shared" si="313"/>
        <v>0</v>
      </c>
      <c r="BD354" s="539">
        <f t="shared" si="313"/>
        <v>0</v>
      </c>
      <c r="BE354" s="539">
        <f t="shared" si="313"/>
        <v>0</v>
      </c>
      <c r="BF354" s="539">
        <f t="shared" si="313"/>
        <v>0</v>
      </c>
      <c r="BG354" s="539">
        <f t="shared" si="313"/>
        <v>0</v>
      </c>
      <c r="BH354" s="368"/>
    </row>
    <row r="355" spans="1:60" s="356" customFormat="1" hidden="1" outlineLevel="1" x14ac:dyDescent="0.25">
      <c r="A355" s="540" t="s">
        <v>99</v>
      </c>
      <c r="B355" s="661"/>
      <c r="C355" s="551"/>
      <c r="D355" s="551"/>
      <c r="E355" s="551"/>
      <c r="F355" s="551"/>
      <c r="G355" s="629"/>
      <c r="H355" s="629"/>
      <c r="I355" s="629"/>
      <c r="J355" s="629"/>
      <c r="K355" s="551"/>
      <c r="L355" s="629"/>
      <c r="M355" s="629"/>
      <c r="N355" s="629"/>
      <c r="O355" s="629"/>
      <c r="P355" s="551"/>
      <c r="Q355" s="629"/>
      <c r="R355" s="629"/>
      <c r="S355" s="629"/>
      <c r="T355" s="629"/>
      <c r="U355" s="551"/>
      <c r="V355" s="629"/>
      <c r="W355" s="629"/>
      <c r="X355" s="629"/>
      <c r="Y355" s="541">
        <v>-98.132000000000005</v>
      </c>
      <c r="Z355" s="785">
        <v>-98.132000000000005</v>
      </c>
      <c r="AA355" s="541">
        <v>-66.903999999999996</v>
      </c>
      <c r="AB355" s="541">
        <v>-65.03</v>
      </c>
      <c r="AC355" s="541">
        <v>-51.786999999999999</v>
      </c>
      <c r="AD355" s="541">
        <v>-95.456999999999994</v>
      </c>
      <c r="AE355" s="785">
        <v>-279.178</v>
      </c>
      <c r="AF355" s="541">
        <v>-75.075999999999993</v>
      </c>
      <c r="AG355" s="541">
        <v>-25.167000000000002</v>
      </c>
      <c r="AH355" s="541">
        <v>-56.843000000000004</v>
      </c>
      <c r="AI355" s="541">
        <f>AJ355-SUM(AF355,AG355,AH355)</f>
        <v>70.595000000000013</v>
      </c>
      <c r="AJ355" s="785">
        <v>-86.491</v>
      </c>
      <c r="AK355" s="541">
        <v>34.49</v>
      </c>
      <c r="AL355" s="541">
        <v>19.071999999999999</v>
      </c>
      <c r="AM355" s="541">
        <v>7</v>
      </c>
      <c r="AN355" s="541">
        <f>AO355-SUM(AK355,AL355,AM355)</f>
        <v>26.438000000000002</v>
      </c>
      <c r="AO355" s="785">
        <v>87</v>
      </c>
      <c r="AP355" s="541">
        <v>52</v>
      </c>
      <c r="AQ355" s="541">
        <v>25</v>
      </c>
      <c r="AR355" s="541">
        <v>38</v>
      </c>
      <c r="AS355" s="541">
        <f>AT355-SUM(AP355,AQ355,AR355)</f>
        <v>26</v>
      </c>
      <c r="AT355" s="785">
        <v>141</v>
      </c>
      <c r="AU355" s="541">
        <v>26</v>
      </c>
      <c r="AV355" s="541">
        <v>36</v>
      </c>
      <c r="AW355" s="1000">
        <v>41</v>
      </c>
      <c r="AX355" s="629"/>
      <c r="AY355" s="551"/>
      <c r="AZ355" s="629"/>
      <c r="BA355" s="629"/>
      <c r="BB355" s="629"/>
      <c r="BC355" s="629"/>
      <c r="BD355" s="551"/>
      <c r="BE355" s="551"/>
      <c r="BF355" s="551"/>
      <c r="BG355" s="551"/>
      <c r="BH355" s="361"/>
    </row>
    <row r="356" spans="1:60" s="116" customFormat="1" hidden="1" outlineLevel="1" x14ac:dyDescent="0.25">
      <c r="A356" s="535" t="s">
        <v>671</v>
      </c>
      <c r="B356" s="660"/>
      <c r="C356" s="536">
        <f t="shared" ref="C356:AH356" si="314">C354-C355</f>
        <v>-55.740000000000009</v>
      </c>
      <c r="D356" s="536">
        <f t="shared" si="314"/>
        <v>-154.328</v>
      </c>
      <c r="E356" s="536">
        <f t="shared" si="314"/>
        <v>-254.41099999999994</v>
      </c>
      <c r="F356" s="536">
        <f t="shared" si="314"/>
        <v>-396.21300000000002</v>
      </c>
      <c r="G356" s="537">
        <f t="shared" si="314"/>
        <v>11.248000000000054</v>
      </c>
      <c r="H356" s="537">
        <f t="shared" si="314"/>
        <v>-30.501999999999999</v>
      </c>
      <c r="I356" s="537">
        <f t="shared" si="314"/>
        <v>-38.496000000000002</v>
      </c>
      <c r="J356" s="537">
        <f t="shared" si="314"/>
        <v>-16.26399999999995</v>
      </c>
      <c r="K356" s="536">
        <f t="shared" si="314"/>
        <v>-74.013999999999896</v>
      </c>
      <c r="L356" s="537">
        <f t="shared" si="314"/>
        <v>-49.800000000000011</v>
      </c>
      <c r="M356" s="537">
        <f t="shared" si="314"/>
        <v>-61.900000000000098</v>
      </c>
      <c r="N356" s="537">
        <f t="shared" si="314"/>
        <v>-74.708000000000027</v>
      </c>
      <c r="O356" s="537">
        <f t="shared" si="314"/>
        <v>-107.62900000000008</v>
      </c>
      <c r="P356" s="536">
        <f t="shared" si="314"/>
        <v>-294.03999999999962</v>
      </c>
      <c r="Q356" s="537">
        <f t="shared" si="314"/>
        <v>-154.1809999999999</v>
      </c>
      <c r="R356" s="537">
        <f t="shared" si="314"/>
        <v>-184.227</v>
      </c>
      <c r="S356" s="537">
        <f t="shared" si="314"/>
        <v>-229.85800000000003</v>
      </c>
      <c r="T356" s="537">
        <f t="shared" si="314"/>
        <v>-320.39699999999993</v>
      </c>
      <c r="U356" s="536">
        <f t="shared" si="314"/>
        <v>-888.6629999999999</v>
      </c>
      <c r="V356" s="537">
        <f t="shared" si="314"/>
        <v>-282.26700000000005</v>
      </c>
      <c r="W356" s="537">
        <f t="shared" si="314"/>
        <v>-293.18799999999999</v>
      </c>
      <c r="X356" s="537">
        <f t="shared" si="314"/>
        <v>21.877999999999727</v>
      </c>
      <c r="Y356" s="537">
        <f t="shared" si="314"/>
        <v>-121.33700000000019</v>
      </c>
      <c r="Z356" s="536">
        <f t="shared" si="314"/>
        <v>-674.91400000000067</v>
      </c>
      <c r="AA356" s="537">
        <f t="shared" si="314"/>
        <v>-330.27699999999999</v>
      </c>
      <c r="AB356" s="537">
        <f t="shared" si="314"/>
        <v>-336.39700000000016</v>
      </c>
      <c r="AC356" s="537">
        <f t="shared" si="314"/>
        <v>-619.37599999999975</v>
      </c>
      <c r="AD356" s="537">
        <f t="shared" si="314"/>
        <v>-675.3500000000007</v>
      </c>
      <c r="AE356" s="536">
        <f t="shared" si="314"/>
        <v>-1961.3999999999992</v>
      </c>
      <c r="AF356" s="537">
        <f t="shared" si="314"/>
        <v>-709.55100000000016</v>
      </c>
      <c r="AG356" s="537">
        <f t="shared" si="314"/>
        <v>-717.5390000000009</v>
      </c>
      <c r="AH356" s="537">
        <f t="shared" si="314"/>
        <v>311.51600000000008</v>
      </c>
      <c r="AI356" s="537">
        <f t="shared" ref="AI356:AY356" si="315">AI354-AI355</f>
        <v>139.48300000000046</v>
      </c>
      <c r="AJ356" s="536">
        <f t="shared" si="315"/>
        <v>-976.09099999999944</v>
      </c>
      <c r="AK356" s="537">
        <f t="shared" si="315"/>
        <v>-702.13500000000022</v>
      </c>
      <c r="AL356" s="537">
        <f t="shared" si="315"/>
        <v>-408.33400000000057</v>
      </c>
      <c r="AM356" s="537">
        <f t="shared" si="315"/>
        <v>143</v>
      </c>
      <c r="AN356" s="537">
        <f t="shared" si="315"/>
        <v>105.46899999999955</v>
      </c>
      <c r="AO356" s="536">
        <f t="shared" si="315"/>
        <v>-862</v>
      </c>
      <c r="AP356" s="537">
        <f t="shared" si="315"/>
        <v>16</v>
      </c>
      <c r="AQ356" s="537">
        <f t="shared" si="315"/>
        <v>104</v>
      </c>
      <c r="AR356" s="537">
        <f>AR354-AR355</f>
        <v>331</v>
      </c>
      <c r="AS356" s="537">
        <f>AS354-AS355</f>
        <v>270</v>
      </c>
      <c r="AT356" s="536">
        <f>AT354-AT355</f>
        <v>721</v>
      </c>
      <c r="AU356" s="537">
        <f t="shared" ref="AU356" si="316">AU354-AU355</f>
        <v>438</v>
      </c>
      <c r="AV356" s="537">
        <f>AV354-AV355</f>
        <v>1142</v>
      </c>
      <c r="AW356" s="847">
        <f>AW354-AW355</f>
        <v>1618</v>
      </c>
      <c r="AX356" s="538">
        <f t="shared" si="315"/>
        <v>0</v>
      </c>
      <c r="AY356" s="539">
        <f t="shared" si="315"/>
        <v>0</v>
      </c>
      <c r="AZ356" s="538">
        <f t="shared" ref="AZ356:BG356" si="317">AZ354-AZ355</f>
        <v>0</v>
      </c>
      <c r="BA356" s="538">
        <f t="shared" si="317"/>
        <v>0</v>
      </c>
      <c r="BB356" s="538">
        <f t="shared" si="317"/>
        <v>0</v>
      </c>
      <c r="BC356" s="538">
        <f t="shared" si="317"/>
        <v>0</v>
      </c>
      <c r="BD356" s="539">
        <f t="shared" si="317"/>
        <v>0</v>
      </c>
      <c r="BE356" s="539">
        <f t="shared" si="317"/>
        <v>0</v>
      </c>
      <c r="BF356" s="539">
        <f t="shared" si="317"/>
        <v>0</v>
      </c>
      <c r="BG356" s="539">
        <f t="shared" si="317"/>
        <v>0</v>
      </c>
      <c r="BH356" s="368"/>
    </row>
    <row r="357" spans="1:60" s="109" customFormat="1" hidden="1" outlineLevel="1" x14ac:dyDescent="0.25">
      <c r="A357" s="662"/>
      <c r="B357" s="652"/>
      <c r="C357" s="1057"/>
      <c r="D357" s="1057"/>
      <c r="E357" s="1057"/>
      <c r="F357" s="1057"/>
      <c r="G357" s="1058"/>
      <c r="H357" s="1058"/>
      <c r="I357" s="1058"/>
      <c r="J357" s="1058"/>
      <c r="K357" s="1057"/>
      <c r="L357" s="1058"/>
      <c r="M357" s="1058"/>
      <c r="N357" s="1058"/>
      <c r="O357" s="1058"/>
      <c r="P357" s="1057"/>
      <c r="Q357" s="1058"/>
      <c r="R357" s="1058"/>
      <c r="S357" s="1058"/>
      <c r="T357" s="1058"/>
      <c r="U357" s="1057"/>
      <c r="V357" s="1058"/>
      <c r="W357" s="1058"/>
      <c r="X357" s="1058"/>
      <c r="Y357" s="1058"/>
      <c r="Z357" s="1057"/>
      <c r="AA357" s="1058"/>
      <c r="AB357" s="1058"/>
      <c r="AC357" s="1058"/>
      <c r="AD357" s="1058"/>
      <c r="AE357" s="1057"/>
      <c r="AF357" s="1058"/>
      <c r="AG357" s="1058"/>
      <c r="AH357" s="1058"/>
      <c r="AI357" s="1058"/>
      <c r="AJ357" s="1057"/>
      <c r="AK357" s="1058"/>
      <c r="AL357" s="1058"/>
      <c r="AM357" s="1058"/>
      <c r="AN357" s="1058"/>
      <c r="AO357" s="1057"/>
      <c r="AP357" s="1058"/>
      <c r="AQ357" s="1058"/>
      <c r="AR357" s="1058"/>
      <c r="AS357" s="1058"/>
      <c r="AT357" s="1057"/>
      <c r="AU357" s="1058"/>
      <c r="AV357" s="1058"/>
      <c r="AW357" s="1059"/>
      <c r="AX357" s="1058"/>
      <c r="AY357" s="1057"/>
      <c r="AZ357" s="1058"/>
      <c r="BA357" s="1058"/>
      <c r="BB357" s="1058"/>
      <c r="BC357" s="1058"/>
      <c r="BD357" s="1057"/>
      <c r="BE357" s="1057"/>
      <c r="BF357" s="1057"/>
      <c r="BG357" s="1057"/>
      <c r="BH357" s="1024"/>
    </row>
    <row r="358" spans="1:60" s="109" customFormat="1" hidden="1" outlineLevel="1" x14ac:dyDescent="0.25">
      <c r="A358" s="65" t="s">
        <v>100</v>
      </c>
      <c r="B358" s="65"/>
      <c r="C358" s="1072">
        <f t="shared" ref="C358:AH358" si="318">IF(ISBLANK(INDEX(MO_IS_FirstRow,0,COLUMN())),0,ROUND(C354-C584,6))</f>
        <v>0</v>
      </c>
      <c r="D358" s="1072">
        <f t="shared" si="318"/>
        <v>0</v>
      </c>
      <c r="E358" s="1072">
        <f t="shared" si="318"/>
        <v>0</v>
      </c>
      <c r="F358" s="1072">
        <f t="shared" si="318"/>
        <v>0</v>
      </c>
      <c r="G358" s="1072">
        <f t="shared" si="318"/>
        <v>0</v>
      </c>
      <c r="H358" s="1072">
        <f t="shared" si="318"/>
        <v>0</v>
      </c>
      <c r="I358" s="1072">
        <f t="shared" si="318"/>
        <v>0</v>
      </c>
      <c r="J358" s="1072">
        <f t="shared" si="318"/>
        <v>0</v>
      </c>
      <c r="K358" s="1072">
        <f t="shared" si="318"/>
        <v>0</v>
      </c>
      <c r="L358" s="1072">
        <f t="shared" si="318"/>
        <v>0</v>
      </c>
      <c r="M358" s="1072">
        <f t="shared" si="318"/>
        <v>2E-3</v>
      </c>
      <c r="N358" s="1072">
        <f t="shared" si="318"/>
        <v>1E-3</v>
      </c>
      <c r="O358" s="1072">
        <f t="shared" si="318"/>
        <v>0</v>
      </c>
      <c r="P358" s="1072">
        <f t="shared" si="318"/>
        <v>0</v>
      </c>
      <c r="Q358" s="1072">
        <f t="shared" si="318"/>
        <v>0</v>
      </c>
      <c r="R358" s="1072">
        <f t="shared" si="318"/>
        <v>0</v>
      </c>
      <c r="S358" s="1072">
        <f t="shared" si="318"/>
        <v>0</v>
      </c>
      <c r="T358" s="1072">
        <f t="shared" si="318"/>
        <v>0</v>
      </c>
      <c r="U358" s="1072">
        <f t="shared" si="318"/>
        <v>0</v>
      </c>
      <c r="V358" s="1072">
        <f t="shared" si="318"/>
        <v>0</v>
      </c>
      <c r="W358" s="1072">
        <f t="shared" si="318"/>
        <v>0</v>
      </c>
      <c r="X358" s="1072">
        <f t="shared" si="318"/>
        <v>0</v>
      </c>
      <c r="Y358" s="1072">
        <f t="shared" si="318"/>
        <v>0</v>
      </c>
      <c r="Z358" s="1072">
        <f t="shared" si="318"/>
        <v>0</v>
      </c>
      <c r="AA358" s="1072">
        <f t="shared" si="318"/>
        <v>0</v>
      </c>
      <c r="AB358" s="1072">
        <f t="shared" si="318"/>
        <v>0</v>
      </c>
      <c r="AC358" s="1072">
        <f t="shared" si="318"/>
        <v>0</v>
      </c>
      <c r="AD358" s="1072">
        <f t="shared" si="318"/>
        <v>0</v>
      </c>
      <c r="AE358" s="1072">
        <f t="shared" si="318"/>
        <v>0</v>
      </c>
      <c r="AF358" s="1072">
        <f t="shared" si="318"/>
        <v>0</v>
      </c>
      <c r="AG358" s="1072">
        <f t="shared" si="318"/>
        <v>0</v>
      </c>
      <c r="AH358" s="1072">
        <f t="shared" si="318"/>
        <v>0</v>
      </c>
      <c r="AI358" s="1072">
        <f t="shared" ref="AI358:BG358" si="319">IF(ISBLANK(INDEX(MO_IS_FirstRow,0,COLUMN())),0,ROUND(AI354-AI584,6))</f>
        <v>0</v>
      </c>
      <c r="AJ358" s="1072">
        <f t="shared" si="319"/>
        <v>0</v>
      </c>
      <c r="AK358" s="1072">
        <f t="shared" si="319"/>
        <v>0</v>
      </c>
      <c r="AL358" s="1072">
        <f t="shared" si="319"/>
        <v>0</v>
      </c>
      <c r="AM358" s="1072">
        <f t="shared" si="319"/>
        <v>9.2999999999999999E-2</v>
      </c>
      <c r="AN358" s="1072">
        <f t="shared" si="319"/>
        <v>-9.2999999999999999E-2</v>
      </c>
      <c r="AO358" s="1072">
        <f t="shared" si="319"/>
        <v>0</v>
      </c>
      <c r="AP358" s="1072">
        <f t="shared" si="319"/>
        <v>0</v>
      </c>
      <c r="AQ358" s="1072">
        <f t="shared" si="319"/>
        <v>0</v>
      </c>
      <c r="AR358" s="1072">
        <f t="shared" si="319"/>
        <v>0</v>
      </c>
      <c r="AS358" s="1072">
        <f t="shared" si="319"/>
        <v>0</v>
      </c>
      <c r="AT358" s="1072">
        <f t="shared" si="319"/>
        <v>0</v>
      </c>
      <c r="AU358" s="1072">
        <f t="shared" si="319"/>
        <v>0</v>
      </c>
      <c r="AV358" s="1072">
        <f t="shared" si="319"/>
        <v>0</v>
      </c>
      <c r="AW358" s="1073">
        <f t="shared" si="319"/>
        <v>0</v>
      </c>
      <c r="AX358" s="1072">
        <f t="shared" si="319"/>
        <v>0</v>
      </c>
      <c r="AY358" s="1072">
        <f t="shared" si="319"/>
        <v>0</v>
      </c>
      <c r="AZ358" s="1072">
        <f t="shared" si="319"/>
        <v>0</v>
      </c>
      <c r="BA358" s="1072">
        <f t="shared" si="319"/>
        <v>0</v>
      </c>
      <c r="BB358" s="1072">
        <f t="shared" si="319"/>
        <v>0</v>
      </c>
      <c r="BC358" s="1072">
        <f t="shared" si="319"/>
        <v>0</v>
      </c>
      <c r="BD358" s="1072">
        <f t="shared" si="319"/>
        <v>0</v>
      </c>
      <c r="BE358" s="1072">
        <f t="shared" si="319"/>
        <v>0</v>
      </c>
      <c r="BF358" s="1072">
        <f t="shared" si="319"/>
        <v>0</v>
      </c>
      <c r="BG358" s="1072">
        <f t="shared" si="319"/>
        <v>0</v>
      </c>
      <c r="BH358" s="1024"/>
    </row>
    <row r="359" spans="1:60" s="109" customFormat="1" collapsed="1" x14ac:dyDescent="0.25">
      <c r="A359" s="217"/>
      <c r="B359" s="214"/>
      <c r="C359" s="1051"/>
      <c r="D359" s="1051"/>
      <c r="E359" s="1051"/>
      <c r="F359" s="1051"/>
      <c r="G359" s="1052"/>
      <c r="H359" s="1052"/>
      <c r="I359" s="1052"/>
      <c r="J359" s="1052"/>
      <c r="K359" s="1051"/>
      <c r="L359" s="1052"/>
      <c r="M359" s="1052"/>
      <c r="N359" s="1052"/>
      <c r="O359" s="1052"/>
      <c r="P359" s="1051"/>
      <c r="Q359" s="1052"/>
      <c r="R359" s="1052"/>
      <c r="S359" s="1052"/>
      <c r="T359" s="1052"/>
      <c r="U359" s="1051"/>
      <c r="V359" s="1052"/>
      <c r="W359" s="1052"/>
      <c r="X359" s="1052"/>
      <c r="Y359" s="1052"/>
      <c r="Z359" s="1051"/>
      <c r="AA359" s="1052"/>
      <c r="AB359" s="1052"/>
      <c r="AC359" s="1052"/>
      <c r="AD359" s="1052"/>
      <c r="AE359" s="1051"/>
      <c r="AF359" s="1052"/>
      <c r="AG359" s="1052"/>
      <c r="AH359" s="1052"/>
      <c r="AI359" s="1052"/>
      <c r="AJ359" s="1051"/>
      <c r="AK359" s="1052"/>
      <c r="AL359" s="1052"/>
      <c r="AM359" s="1052"/>
      <c r="AN359" s="1052"/>
      <c r="AO359" s="1051"/>
      <c r="AP359" s="1052"/>
      <c r="AQ359" s="1052"/>
      <c r="AR359" s="1052"/>
      <c r="AS359" s="1052"/>
      <c r="AT359" s="1051"/>
      <c r="AU359" s="1052"/>
      <c r="AV359" s="1052"/>
      <c r="AW359" s="1053"/>
      <c r="AX359" s="1052"/>
      <c r="AY359" s="1051"/>
      <c r="AZ359" s="1052"/>
      <c r="BA359" s="1052"/>
      <c r="BB359" s="1052"/>
      <c r="BC359" s="1052"/>
      <c r="BD359" s="1051"/>
      <c r="BE359" s="1051"/>
      <c r="BF359" s="1051"/>
      <c r="BG359" s="1051"/>
      <c r="BH359" s="1024"/>
    </row>
    <row r="360" spans="1:60" s="112" customFormat="1" x14ac:dyDescent="0.25">
      <c r="A360" s="1020" t="s">
        <v>101</v>
      </c>
      <c r="B360" s="1020"/>
      <c r="C360" s="1043"/>
      <c r="D360" s="1043"/>
      <c r="E360" s="1043"/>
      <c r="F360" s="1043"/>
      <c r="G360" s="1043"/>
      <c r="H360" s="1043"/>
      <c r="I360" s="1043"/>
      <c r="J360" s="1043"/>
      <c r="K360" s="1043"/>
      <c r="L360" s="1043"/>
      <c r="M360" s="1043"/>
      <c r="N360" s="1043"/>
      <c r="O360" s="1043"/>
      <c r="P360" s="1043"/>
      <c r="Q360" s="1043"/>
      <c r="R360" s="1043"/>
      <c r="S360" s="1043"/>
      <c r="T360" s="1043"/>
      <c r="U360" s="1043"/>
      <c r="V360" s="1043"/>
      <c r="W360" s="1043"/>
      <c r="X360" s="1043"/>
      <c r="Y360" s="1043"/>
      <c r="Z360" s="1043"/>
      <c r="AA360" s="1043"/>
      <c r="AB360" s="1043"/>
      <c r="AC360" s="1043"/>
      <c r="AD360" s="1043"/>
      <c r="AE360" s="1043"/>
      <c r="AF360" s="1043"/>
      <c r="AG360" s="1043"/>
      <c r="AH360" s="1043"/>
      <c r="AI360" s="1043"/>
      <c r="AJ360" s="1043"/>
      <c r="AK360" s="1043"/>
      <c r="AL360" s="1043"/>
      <c r="AM360" s="1043"/>
      <c r="AN360" s="1043"/>
      <c r="AO360" s="1043"/>
      <c r="AP360" s="1043"/>
      <c r="AQ360" s="1043"/>
      <c r="AR360" s="1043"/>
      <c r="AS360" s="1043"/>
      <c r="AT360" s="1043"/>
      <c r="AU360" s="1043"/>
      <c r="AV360" s="1043"/>
      <c r="AW360" s="1044"/>
      <c r="AX360" s="1043"/>
      <c r="AY360" s="1043"/>
      <c r="AZ360" s="1043"/>
      <c r="BA360" s="1043"/>
      <c r="BB360" s="1043"/>
      <c r="BC360" s="1043"/>
      <c r="BD360" s="1043"/>
      <c r="BE360" s="1043"/>
      <c r="BF360" s="1043"/>
      <c r="BG360" s="1043"/>
      <c r="BH360" s="1034"/>
    </row>
    <row r="361" spans="1:60" s="116" customFormat="1" hidden="1" outlineLevel="1" x14ac:dyDescent="0.25">
      <c r="A361" s="436" t="s">
        <v>102</v>
      </c>
      <c r="B361" s="531"/>
      <c r="C361" s="33">
        <f t="shared" ref="C361:AQ361" si="320">+C356</f>
        <v>-55.740000000000009</v>
      </c>
      <c r="D361" s="33">
        <f t="shared" si="320"/>
        <v>-154.328</v>
      </c>
      <c r="E361" s="33">
        <f t="shared" si="320"/>
        <v>-254.41099999999994</v>
      </c>
      <c r="F361" s="33">
        <f t="shared" si="320"/>
        <v>-396.21300000000002</v>
      </c>
      <c r="G361" s="368">
        <f t="shared" si="320"/>
        <v>11.248000000000054</v>
      </c>
      <c r="H361" s="368">
        <f t="shared" si="320"/>
        <v>-30.501999999999999</v>
      </c>
      <c r="I361" s="368">
        <f t="shared" si="320"/>
        <v>-38.496000000000002</v>
      </c>
      <c r="J361" s="368">
        <f t="shared" si="320"/>
        <v>-16.26399999999995</v>
      </c>
      <c r="K361" s="33">
        <f t="shared" si="320"/>
        <v>-74.013999999999896</v>
      </c>
      <c r="L361" s="368">
        <f t="shared" si="320"/>
        <v>-49.800000000000011</v>
      </c>
      <c r="M361" s="368">
        <f t="shared" si="320"/>
        <v>-61.900000000000098</v>
      </c>
      <c r="N361" s="368">
        <f t="shared" si="320"/>
        <v>-74.708000000000027</v>
      </c>
      <c r="O361" s="368">
        <f t="shared" si="320"/>
        <v>-107.62900000000008</v>
      </c>
      <c r="P361" s="33">
        <f t="shared" si="320"/>
        <v>-294.03999999999962</v>
      </c>
      <c r="Q361" s="368">
        <f t="shared" si="320"/>
        <v>-154.1809999999999</v>
      </c>
      <c r="R361" s="368">
        <f t="shared" si="320"/>
        <v>-184.227</v>
      </c>
      <c r="S361" s="368">
        <f t="shared" si="320"/>
        <v>-229.85800000000003</v>
      </c>
      <c r="T361" s="368">
        <f t="shared" si="320"/>
        <v>-320.39699999999993</v>
      </c>
      <c r="U361" s="33">
        <f t="shared" si="320"/>
        <v>-888.6629999999999</v>
      </c>
      <c r="V361" s="368">
        <f t="shared" si="320"/>
        <v>-282.26700000000005</v>
      </c>
      <c r="W361" s="34">
        <f t="shared" si="320"/>
        <v>-293.18799999999999</v>
      </c>
      <c r="X361" s="34">
        <f t="shared" si="320"/>
        <v>21.877999999999727</v>
      </c>
      <c r="Y361" s="368">
        <f t="shared" si="320"/>
        <v>-121.33700000000019</v>
      </c>
      <c r="Z361" s="33">
        <f t="shared" si="320"/>
        <v>-674.91400000000067</v>
      </c>
      <c r="AA361" s="368">
        <f t="shared" si="320"/>
        <v>-330.27699999999999</v>
      </c>
      <c r="AB361" s="34">
        <f t="shared" si="320"/>
        <v>-336.39700000000016</v>
      </c>
      <c r="AC361" s="34">
        <f t="shared" si="320"/>
        <v>-619.37599999999975</v>
      </c>
      <c r="AD361" s="368">
        <f t="shared" si="320"/>
        <v>-675.3500000000007</v>
      </c>
      <c r="AE361" s="33">
        <f t="shared" si="320"/>
        <v>-1961.3999999999992</v>
      </c>
      <c r="AF361" s="368">
        <f t="shared" si="320"/>
        <v>-709.55100000000016</v>
      </c>
      <c r="AG361" s="34">
        <f t="shared" si="320"/>
        <v>-717.5390000000009</v>
      </c>
      <c r="AH361" s="34">
        <f t="shared" si="320"/>
        <v>311.51600000000008</v>
      </c>
      <c r="AI361" s="368">
        <f t="shared" si="320"/>
        <v>139.48300000000046</v>
      </c>
      <c r="AJ361" s="33">
        <f t="shared" si="320"/>
        <v>-976.09099999999944</v>
      </c>
      <c r="AK361" s="368">
        <f t="shared" si="320"/>
        <v>-702.13500000000022</v>
      </c>
      <c r="AL361" s="34">
        <f t="shared" si="320"/>
        <v>-408.33400000000057</v>
      </c>
      <c r="AM361" s="34">
        <f t="shared" si="320"/>
        <v>143</v>
      </c>
      <c r="AN361" s="368">
        <f t="shared" si="320"/>
        <v>105.46899999999955</v>
      </c>
      <c r="AO361" s="33">
        <f t="shared" si="320"/>
        <v>-862</v>
      </c>
      <c r="AP361" s="368">
        <f t="shared" si="320"/>
        <v>16</v>
      </c>
      <c r="AQ361" s="34">
        <f t="shared" si="320"/>
        <v>104</v>
      </c>
      <c r="AR361" s="34">
        <f>+AR356</f>
        <v>331</v>
      </c>
      <c r="AS361" s="368">
        <f>+AS356</f>
        <v>270</v>
      </c>
      <c r="AT361" s="33">
        <f>+AT356</f>
        <v>721</v>
      </c>
      <c r="AU361" s="368">
        <f t="shared" ref="AU361" si="321">+AU356</f>
        <v>438</v>
      </c>
      <c r="AV361" s="34">
        <f>+AV356</f>
        <v>1142</v>
      </c>
      <c r="AW361" s="793">
        <f>+AW356</f>
        <v>1618</v>
      </c>
      <c r="AX361" s="437"/>
      <c r="AY361" s="438"/>
      <c r="AZ361" s="437"/>
      <c r="BA361" s="437"/>
      <c r="BB361" s="437"/>
      <c r="BC361" s="437"/>
      <c r="BD361" s="438"/>
      <c r="BE361" s="438"/>
      <c r="BF361" s="438"/>
      <c r="BG361" s="438"/>
      <c r="BH361" s="368"/>
    </row>
    <row r="362" spans="1:60" s="356" customFormat="1" hidden="1" outlineLevel="1" x14ac:dyDescent="0.25">
      <c r="A362" s="360" t="s">
        <v>103</v>
      </c>
      <c r="B362" s="450"/>
      <c r="C362" s="35">
        <v>1.4339999999999999</v>
      </c>
      <c r="D362" s="35">
        <v>21.155999999999999</v>
      </c>
      <c r="E362" s="35">
        <v>29.419</v>
      </c>
      <c r="F362" s="35">
        <v>50.145000000000003</v>
      </c>
      <c r="G362" s="361">
        <v>14.868</v>
      </c>
      <c r="H362" s="361">
        <v>19.259</v>
      </c>
      <c r="I362" s="361">
        <v>21.439</v>
      </c>
      <c r="J362" s="361">
        <v>28.088999999999999</v>
      </c>
      <c r="K362" s="35">
        <f>SUM(G362,H362,I362,J362)</f>
        <v>83.655000000000001</v>
      </c>
      <c r="L362" s="361">
        <v>37.037999999999997</v>
      </c>
      <c r="M362" s="361">
        <v>35.783000000000001</v>
      </c>
      <c r="N362" s="361">
        <v>39.158000000000001</v>
      </c>
      <c r="O362" s="361">
        <v>44.517000000000003</v>
      </c>
      <c r="P362" s="35">
        <f>SUM(L362,M362,N362,O362)</f>
        <v>156.49600000000001</v>
      </c>
      <c r="Q362" s="361">
        <v>43.026000000000003</v>
      </c>
      <c r="R362" s="361">
        <v>43.335000000000001</v>
      </c>
      <c r="S362" s="361">
        <v>56.033000000000001</v>
      </c>
      <c r="T362" s="361">
        <v>55.639999999999993</v>
      </c>
      <c r="U362" s="35">
        <f>SUM(Q362,R362,S362,T362)</f>
        <v>198.03399999999999</v>
      </c>
      <c r="V362" s="361">
        <v>89.658000000000001</v>
      </c>
      <c r="W362" s="36">
        <v>67.311999999999998</v>
      </c>
      <c r="X362" s="36">
        <v>89.543000000000006</v>
      </c>
      <c r="Y362" s="361">
        <v>87.710999999999999</v>
      </c>
      <c r="Z362" s="35">
        <v>334.22500000000002</v>
      </c>
      <c r="AA362" s="361">
        <v>103.717</v>
      </c>
      <c r="AB362" s="36">
        <v>116.042</v>
      </c>
      <c r="AC362" s="36">
        <v>112.65300000000001</v>
      </c>
      <c r="AD362" s="361">
        <v>134.34800000000001</v>
      </c>
      <c r="AE362" s="35">
        <v>466.76</v>
      </c>
      <c r="AF362" s="361">
        <v>141.63900000000001</v>
      </c>
      <c r="AG362" s="36">
        <v>197.34399999999999</v>
      </c>
      <c r="AH362" s="36">
        <v>204.72800000000001</v>
      </c>
      <c r="AI362" s="361">
        <v>205.31299999999999</v>
      </c>
      <c r="AJ362" s="35">
        <v>749.024</v>
      </c>
      <c r="AK362" s="361">
        <v>208.37799999999999</v>
      </c>
      <c r="AL362" s="36">
        <v>209.863</v>
      </c>
      <c r="AM362" s="36">
        <v>199</v>
      </c>
      <c r="AN362" s="361">
        <v>281</v>
      </c>
      <c r="AO362" s="35">
        <v>898</v>
      </c>
      <c r="AP362" s="361">
        <v>211</v>
      </c>
      <c r="AQ362" s="36">
        <v>347</v>
      </c>
      <c r="AR362" s="36">
        <v>543</v>
      </c>
      <c r="AS362" s="361">
        <v>633</v>
      </c>
      <c r="AT362" s="35">
        <v>1734</v>
      </c>
      <c r="AU362" s="361">
        <v>614</v>
      </c>
      <c r="AV362" s="36">
        <v>474</v>
      </c>
      <c r="AW362" s="792">
        <v>475</v>
      </c>
      <c r="AX362" s="439"/>
      <c r="AY362" s="440"/>
      <c r="AZ362" s="439"/>
      <c r="BA362" s="439"/>
      <c r="BB362" s="439"/>
      <c r="BC362" s="439"/>
      <c r="BD362" s="440"/>
      <c r="BE362" s="440"/>
      <c r="BF362" s="440"/>
      <c r="BG362" s="440"/>
      <c r="BH362" s="361"/>
    </row>
    <row r="363" spans="1:60" s="356" customFormat="1" hidden="1" outlineLevel="1" x14ac:dyDescent="0.25">
      <c r="A363" s="360" t="s">
        <v>104</v>
      </c>
      <c r="B363" s="450"/>
      <c r="C363" s="440"/>
      <c r="D363" s="440"/>
      <c r="E363" s="440"/>
      <c r="F363" s="440"/>
      <c r="G363" s="439"/>
      <c r="H363" s="439"/>
      <c r="I363" s="439"/>
      <c r="J363" s="439"/>
      <c r="K363" s="440"/>
      <c r="L363" s="439"/>
      <c r="M363" s="439"/>
      <c r="N363" s="439"/>
      <c r="O363" s="439"/>
      <c r="P363" s="440"/>
      <c r="Q363" s="439"/>
      <c r="R363" s="439"/>
      <c r="S363" s="439"/>
      <c r="T363" s="439"/>
      <c r="U363" s="440"/>
      <c r="V363" s="439"/>
      <c r="W363" s="439"/>
      <c r="X363" s="439"/>
      <c r="Y363" s="439"/>
      <c r="Z363" s="440"/>
      <c r="AA363" s="439"/>
      <c r="AB363" s="439"/>
      <c r="AC363" s="36">
        <v>18.225000000000001</v>
      </c>
      <c r="AD363" s="361">
        <v>27.95</v>
      </c>
      <c r="AE363" s="35">
        <v>57.746000000000002</v>
      </c>
      <c r="AF363" s="439"/>
      <c r="AG363" s="439"/>
      <c r="AH363" s="439"/>
      <c r="AI363" s="439"/>
      <c r="AJ363" s="440"/>
      <c r="AK363" s="439"/>
      <c r="AL363" s="439"/>
      <c r="AM363" s="439"/>
      <c r="AN363" s="439"/>
      <c r="AO363" s="440"/>
      <c r="AP363" s="439"/>
      <c r="AQ363" s="439"/>
      <c r="AR363" s="439"/>
      <c r="AS363" s="439"/>
      <c r="AT363" s="440"/>
      <c r="AU363" s="439"/>
      <c r="AV363" s="439"/>
      <c r="AW363" s="726"/>
      <c r="AX363" s="439"/>
      <c r="AY363" s="440"/>
      <c r="AZ363" s="439"/>
      <c r="BA363" s="439"/>
      <c r="BB363" s="439"/>
      <c r="BC363" s="439"/>
      <c r="BD363" s="440"/>
      <c r="BE363" s="440"/>
      <c r="BF363" s="440"/>
      <c r="BG363" s="440"/>
      <c r="BH363" s="361"/>
    </row>
    <row r="364" spans="1:60" s="356" customFormat="1" hidden="1" outlineLevel="1" x14ac:dyDescent="0.25">
      <c r="A364" s="360" t="s">
        <v>105</v>
      </c>
      <c r="B364" s="450"/>
      <c r="C364" s="440"/>
      <c r="D364" s="440"/>
      <c r="E364" s="440"/>
      <c r="F364" s="440"/>
      <c r="G364" s="439"/>
      <c r="H364" s="439"/>
      <c r="I364" s="439"/>
      <c r="J364" s="439"/>
      <c r="K364" s="440"/>
      <c r="L364" s="439"/>
      <c r="M364" s="439"/>
      <c r="N364" s="439"/>
      <c r="O364" s="439"/>
      <c r="P364" s="440"/>
      <c r="Q364" s="439"/>
      <c r="R364" s="439"/>
      <c r="S364" s="439"/>
      <c r="T364" s="439"/>
      <c r="U364" s="440"/>
      <c r="V364" s="439"/>
      <c r="W364" s="439"/>
      <c r="X364" s="439"/>
      <c r="Y364" s="361">
        <v>15.807</v>
      </c>
      <c r="Z364" s="35">
        <v>15.807</v>
      </c>
      <c r="AA364" s="439"/>
      <c r="AB364" s="439"/>
      <c r="AC364" s="439"/>
      <c r="AD364" s="439"/>
      <c r="AE364" s="440"/>
      <c r="AF364" s="439"/>
      <c r="AG364" s="439"/>
      <c r="AH364" s="439"/>
      <c r="AI364" s="439"/>
      <c r="AJ364" s="440"/>
      <c r="AK364" s="439"/>
      <c r="AL364" s="439"/>
      <c r="AM364" s="439"/>
      <c r="AN364" s="439"/>
      <c r="AO364" s="440"/>
      <c r="AP364" s="439"/>
      <c r="AQ364" s="439"/>
      <c r="AR364" s="439"/>
      <c r="AS364" s="439"/>
      <c r="AT364" s="440"/>
      <c r="AU364" s="439"/>
      <c r="AV364" s="439"/>
      <c r="AW364" s="726"/>
      <c r="AX364" s="439"/>
      <c r="AY364" s="440"/>
      <c r="AZ364" s="439"/>
      <c r="BA364" s="439"/>
      <c r="BB364" s="439"/>
      <c r="BC364" s="439"/>
      <c r="BD364" s="440"/>
      <c r="BE364" s="440"/>
      <c r="BF364" s="440"/>
      <c r="BG364" s="440"/>
      <c r="BH364" s="361"/>
    </row>
    <row r="365" spans="1:60" s="356" customFormat="1" hidden="1" outlineLevel="1" x14ac:dyDescent="0.25">
      <c r="A365" s="360" t="s">
        <v>106</v>
      </c>
      <c r="B365" s="450"/>
      <c r="C365" s="35">
        <v>0</v>
      </c>
      <c r="D365" s="35">
        <v>0</v>
      </c>
      <c r="E365" s="35">
        <v>0</v>
      </c>
      <c r="F365" s="35">
        <v>0</v>
      </c>
      <c r="G365" s="361">
        <v>-10.692</v>
      </c>
      <c r="H365" s="361">
        <v>1.7909999999999999</v>
      </c>
      <c r="I365" s="361">
        <v>4.26</v>
      </c>
      <c r="J365" s="361">
        <v>4.2990000000000004</v>
      </c>
      <c r="K365" s="35">
        <f>SUM(G365,H365,I365,J365)</f>
        <v>-0.34199999999999964</v>
      </c>
      <c r="L365" s="361">
        <v>8.3930000000000007</v>
      </c>
      <c r="M365" s="361">
        <v>23.638999999999999</v>
      </c>
      <c r="N365" s="361">
        <v>22.16</v>
      </c>
      <c r="O365" s="361">
        <v>20.826000000000001</v>
      </c>
      <c r="P365" s="35">
        <f>SUM(L365,M365,N365,O365)</f>
        <v>75.018000000000001</v>
      </c>
      <c r="Q365" s="361">
        <v>19.510000000000002</v>
      </c>
      <c r="R365" s="361">
        <v>18.170999999999999</v>
      </c>
      <c r="S365" s="361">
        <v>21.85</v>
      </c>
      <c r="T365" s="361">
        <v>26.716000000000001</v>
      </c>
      <c r="U365" s="35">
        <f>SUM(Q365,R365,S365,T365)</f>
        <v>86.247</v>
      </c>
      <c r="V365" s="361">
        <v>28.902000000000001</v>
      </c>
      <c r="W365" s="36">
        <v>31.823</v>
      </c>
      <c r="X365" s="439"/>
      <c r="Y365" s="439"/>
      <c r="Z365" s="440"/>
      <c r="AA365" s="439"/>
      <c r="AB365" s="439"/>
      <c r="AC365" s="439"/>
      <c r="AD365" s="439"/>
      <c r="AE365" s="440"/>
      <c r="AF365" s="439"/>
      <c r="AG365" s="439"/>
      <c r="AH365" s="439"/>
      <c r="AI365" s="439"/>
      <c r="AJ365" s="440"/>
      <c r="AK365" s="439"/>
      <c r="AL365" s="439"/>
      <c r="AM365" s="439"/>
      <c r="AN365" s="439"/>
      <c r="AO365" s="440"/>
      <c r="AP365" s="439"/>
      <c r="AQ365" s="439"/>
      <c r="AR365" s="439"/>
      <c r="AS365" s="439"/>
      <c r="AT365" s="440"/>
      <c r="AU365" s="439"/>
      <c r="AV365" s="439"/>
      <c r="AW365" s="726"/>
      <c r="AX365" s="439"/>
      <c r="AY365" s="440"/>
      <c r="AZ365" s="439"/>
      <c r="BA365" s="439"/>
      <c r="BB365" s="439"/>
      <c r="BC365" s="439"/>
      <c r="BD365" s="440"/>
      <c r="BE365" s="440"/>
      <c r="BF365" s="440"/>
      <c r="BG365" s="440"/>
      <c r="BH365" s="361"/>
    </row>
    <row r="366" spans="1:60" s="356" customFormat="1" hidden="1" outlineLevel="1" x14ac:dyDescent="0.25">
      <c r="A366" s="360" t="s">
        <v>107</v>
      </c>
      <c r="B366" s="450"/>
      <c r="C366" s="35">
        <v>1.1279999999999999</v>
      </c>
      <c r="D366" s="35">
        <v>5.0220000000000002</v>
      </c>
      <c r="E366" s="35">
        <v>2.75</v>
      </c>
      <c r="F366" s="35">
        <v>1.8540000000000001</v>
      </c>
      <c r="G366" s="361">
        <v>0</v>
      </c>
      <c r="H366" s="361">
        <v>16.385999999999999</v>
      </c>
      <c r="I366" s="361">
        <v>0</v>
      </c>
      <c r="J366" s="361">
        <v>0</v>
      </c>
      <c r="K366" s="35">
        <f>SUM(G366,H366,I366,J366)</f>
        <v>16.385999999999999</v>
      </c>
      <c r="L366" s="361">
        <v>0</v>
      </c>
      <c r="M366" s="361">
        <v>0</v>
      </c>
      <c r="N366" s="361">
        <v>0</v>
      </c>
      <c r="O366" s="361">
        <v>0</v>
      </c>
      <c r="P366" s="35">
        <f>SUM(L366,M366,N366,O366)</f>
        <v>0</v>
      </c>
      <c r="Q366" s="361">
        <v>0</v>
      </c>
      <c r="R366" s="361">
        <v>0</v>
      </c>
      <c r="S366" s="361">
        <v>0</v>
      </c>
      <c r="T366" s="361">
        <v>0</v>
      </c>
      <c r="U366" s="35">
        <f>SUM(Q366,R366,S366,T366)</f>
        <v>0</v>
      </c>
      <c r="V366" s="361">
        <v>0</v>
      </c>
      <c r="W366" s="439"/>
      <c r="X366" s="439"/>
      <c r="Y366" s="439"/>
      <c r="Z366" s="35">
        <v>0</v>
      </c>
      <c r="AA366" s="439"/>
      <c r="AB366" s="439"/>
      <c r="AC366" s="439"/>
      <c r="AD366" s="439"/>
      <c r="AE366" s="440"/>
      <c r="AF366" s="439"/>
      <c r="AG366" s="439"/>
      <c r="AH366" s="439"/>
      <c r="AI366" s="439"/>
      <c r="AJ366" s="440"/>
      <c r="AK366" s="439"/>
      <c r="AL366" s="439"/>
      <c r="AM366" s="439"/>
      <c r="AN366" s="439"/>
      <c r="AO366" s="440"/>
      <c r="AP366" s="439"/>
      <c r="AQ366" s="439"/>
      <c r="AR366" s="439"/>
      <c r="AS366" s="439"/>
      <c r="AT366" s="440"/>
      <c r="AU366" s="439"/>
      <c r="AV366" s="439"/>
      <c r="AW366" s="726"/>
      <c r="AX366" s="439"/>
      <c r="AY366" s="440"/>
      <c r="AZ366" s="439"/>
      <c r="BA366" s="439"/>
      <c r="BB366" s="439"/>
      <c r="BC366" s="439"/>
      <c r="BD366" s="440"/>
      <c r="BE366" s="440"/>
      <c r="BF366" s="440"/>
      <c r="BG366" s="440"/>
      <c r="BH366" s="361"/>
    </row>
    <row r="367" spans="1:60" s="356" customFormat="1" hidden="1" outlineLevel="1" x14ac:dyDescent="0.25">
      <c r="A367" s="360" t="s">
        <v>108</v>
      </c>
      <c r="B367" s="450"/>
      <c r="C367" s="35">
        <v>0</v>
      </c>
      <c r="D367" s="35">
        <v>0</v>
      </c>
      <c r="E367" s="35">
        <v>0</v>
      </c>
      <c r="F367" s="35">
        <v>0</v>
      </c>
      <c r="G367" s="361">
        <v>0</v>
      </c>
      <c r="H367" s="361">
        <v>19.349</v>
      </c>
      <c r="I367" s="361">
        <v>28.731999999999999</v>
      </c>
      <c r="J367" s="361">
        <v>29.795999999999999</v>
      </c>
      <c r="K367" s="35">
        <f>SUM(G367,H367,I367,J367)</f>
        <v>77.87700000000001</v>
      </c>
      <c r="L367" s="361">
        <v>21.384</v>
      </c>
      <c r="M367" s="361">
        <v>18.606999999999999</v>
      </c>
      <c r="N367" s="361">
        <v>16.564</v>
      </c>
      <c r="O367" s="361">
        <v>26.071999999999999</v>
      </c>
      <c r="P367" s="35">
        <f>SUM(L367,M367,N367,O367)</f>
        <v>82.626999999999995</v>
      </c>
      <c r="Q367" s="361">
        <v>46.396000000000001</v>
      </c>
      <c r="R367" s="361">
        <v>61.906999999999996</v>
      </c>
      <c r="S367" s="361">
        <v>77.022000000000006</v>
      </c>
      <c r="T367" s="361">
        <v>124.19</v>
      </c>
      <c r="U367" s="35">
        <f>SUM(Q367,R367,S367,T367)</f>
        <v>309.51499999999999</v>
      </c>
      <c r="V367" s="361">
        <v>88.457999999999998</v>
      </c>
      <c r="W367" s="36">
        <v>44.537999999999997</v>
      </c>
      <c r="X367" s="439"/>
      <c r="Y367" s="361">
        <v>-88.727000000000004</v>
      </c>
      <c r="Z367" s="35">
        <v>-88.727000000000004</v>
      </c>
      <c r="AA367" s="361">
        <v>11.571</v>
      </c>
      <c r="AB367" s="439"/>
      <c r="AC367" s="439"/>
      <c r="AD367" s="439"/>
      <c r="AE367" s="440"/>
      <c r="AF367" s="439"/>
      <c r="AG367" s="439"/>
      <c r="AH367" s="439"/>
      <c r="AI367" s="439"/>
      <c r="AJ367" s="440"/>
      <c r="AK367" s="439"/>
      <c r="AL367" s="439"/>
      <c r="AM367" s="439"/>
      <c r="AN367" s="439"/>
      <c r="AO367" s="440"/>
      <c r="AP367" s="439"/>
      <c r="AQ367" s="439"/>
      <c r="AR367" s="439"/>
      <c r="AS367" s="439"/>
      <c r="AT367" s="440"/>
      <c r="AU367" s="439"/>
      <c r="AV367" s="439"/>
      <c r="AW367" s="726"/>
      <c r="AX367" s="439"/>
      <c r="AY367" s="440"/>
      <c r="AZ367" s="439"/>
      <c r="BA367" s="439"/>
      <c r="BB367" s="439"/>
      <c r="BC367" s="439"/>
      <c r="BD367" s="440"/>
      <c r="BE367" s="440"/>
      <c r="BF367" s="440"/>
      <c r="BG367" s="440"/>
      <c r="BH367" s="361"/>
    </row>
    <row r="368" spans="1:60" s="116" customFormat="1" hidden="1" outlineLevel="1" x14ac:dyDescent="0.25">
      <c r="A368" s="86" t="s">
        <v>670</v>
      </c>
      <c r="B368" s="529"/>
      <c r="C368" s="29">
        <f t="shared" ref="C368:AQ368" si="322">SUM(C361:C367)</f>
        <v>-53.178000000000011</v>
      </c>
      <c r="D368" s="29">
        <f t="shared" si="322"/>
        <v>-128.15</v>
      </c>
      <c r="E368" s="29">
        <f t="shared" si="322"/>
        <v>-222.24199999999993</v>
      </c>
      <c r="F368" s="29">
        <f t="shared" si="322"/>
        <v>-344.21400000000006</v>
      </c>
      <c r="G368" s="30">
        <f t="shared" si="322"/>
        <v>15.424000000000056</v>
      </c>
      <c r="H368" s="30">
        <f t="shared" si="322"/>
        <v>26.283000000000001</v>
      </c>
      <c r="I368" s="30">
        <f t="shared" si="322"/>
        <v>15.934999999999997</v>
      </c>
      <c r="J368" s="30">
        <f t="shared" si="322"/>
        <v>45.920000000000044</v>
      </c>
      <c r="K368" s="29">
        <f t="shared" si="322"/>
        <v>103.56200000000011</v>
      </c>
      <c r="L368" s="30">
        <f t="shared" si="322"/>
        <v>17.014999999999986</v>
      </c>
      <c r="M368" s="30">
        <f t="shared" si="322"/>
        <v>16.128999999999902</v>
      </c>
      <c r="N368" s="30">
        <f t="shared" si="322"/>
        <v>3.1739999999999746</v>
      </c>
      <c r="O368" s="30">
        <f t="shared" si="322"/>
        <v>-16.214000000000073</v>
      </c>
      <c r="P368" s="29">
        <f t="shared" si="322"/>
        <v>20.101000000000383</v>
      </c>
      <c r="Q368" s="30">
        <f t="shared" si="322"/>
        <v>-45.248999999999882</v>
      </c>
      <c r="R368" s="30">
        <f t="shared" si="322"/>
        <v>-60.814000000000007</v>
      </c>
      <c r="S368" s="30">
        <f t="shared" si="322"/>
        <v>-74.953000000000046</v>
      </c>
      <c r="T368" s="30">
        <f t="shared" si="322"/>
        <v>-113.85099999999994</v>
      </c>
      <c r="U368" s="29">
        <f t="shared" si="322"/>
        <v>-294.86699999999996</v>
      </c>
      <c r="V368" s="30">
        <f t="shared" si="322"/>
        <v>-75.249000000000052</v>
      </c>
      <c r="W368" s="31">
        <f t="shared" si="322"/>
        <v>-149.51499999999999</v>
      </c>
      <c r="X368" s="31">
        <f t="shared" si="322"/>
        <v>111.42099999999974</v>
      </c>
      <c r="Y368" s="30">
        <f t="shared" si="322"/>
        <v>-106.54600000000019</v>
      </c>
      <c r="Z368" s="29">
        <f t="shared" si="322"/>
        <v>-413.60900000000061</v>
      </c>
      <c r="AA368" s="30">
        <f t="shared" si="322"/>
        <v>-214.989</v>
      </c>
      <c r="AB368" s="31">
        <f t="shared" si="322"/>
        <v>-220.35500000000016</v>
      </c>
      <c r="AC368" s="31">
        <f t="shared" si="322"/>
        <v>-488.49799999999971</v>
      </c>
      <c r="AD368" s="30">
        <f t="shared" si="322"/>
        <v>-513.05200000000059</v>
      </c>
      <c r="AE368" s="29">
        <f t="shared" si="322"/>
        <v>-1436.8939999999991</v>
      </c>
      <c r="AF368" s="30">
        <f t="shared" si="322"/>
        <v>-567.91200000000015</v>
      </c>
      <c r="AG368" s="31">
        <f t="shared" si="322"/>
        <v>-520.19500000000085</v>
      </c>
      <c r="AH368" s="31">
        <f t="shared" si="322"/>
        <v>516.24400000000014</v>
      </c>
      <c r="AI368" s="30">
        <f t="shared" si="322"/>
        <v>344.79600000000045</v>
      </c>
      <c r="AJ368" s="29">
        <f t="shared" si="322"/>
        <v>-227.06699999999944</v>
      </c>
      <c r="AK368" s="30">
        <f t="shared" si="322"/>
        <v>-493.75700000000023</v>
      </c>
      <c r="AL368" s="31">
        <f t="shared" si="322"/>
        <v>-198.47100000000057</v>
      </c>
      <c r="AM368" s="31">
        <f t="shared" si="322"/>
        <v>342</v>
      </c>
      <c r="AN368" s="30">
        <f t="shared" si="322"/>
        <v>386.46899999999954</v>
      </c>
      <c r="AO368" s="29">
        <f t="shared" si="322"/>
        <v>36</v>
      </c>
      <c r="AP368" s="30">
        <f t="shared" si="322"/>
        <v>227</v>
      </c>
      <c r="AQ368" s="31">
        <f t="shared" si="322"/>
        <v>451</v>
      </c>
      <c r="AR368" s="31">
        <f>SUM(AR361:AR367)</f>
        <v>874</v>
      </c>
      <c r="AS368" s="30">
        <f>SUM(AS361:AS367)</f>
        <v>903</v>
      </c>
      <c r="AT368" s="29">
        <f>SUM(AT361:AT367)</f>
        <v>2455</v>
      </c>
      <c r="AU368" s="30">
        <f t="shared" ref="AU368" si="323">SUM(AU361:AU367)</f>
        <v>1052</v>
      </c>
      <c r="AV368" s="31">
        <f>SUM(AV361:AV367)</f>
        <v>1616</v>
      </c>
      <c r="AW368" s="795">
        <f>SUM(AW361:AW367)</f>
        <v>2093</v>
      </c>
      <c r="AX368" s="44"/>
      <c r="AY368" s="45"/>
      <c r="AZ368" s="44"/>
      <c r="BA368" s="44"/>
      <c r="BB368" s="44"/>
      <c r="BC368" s="44"/>
      <c r="BD368" s="45"/>
      <c r="BE368" s="45"/>
      <c r="BF368" s="45"/>
      <c r="BG368" s="45"/>
      <c r="BH368" s="368"/>
    </row>
    <row r="369" spans="1:60" s="116" customFormat="1" hidden="1" outlineLevel="1" x14ac:dyDescent="0.25">
      <c r="A369" s="530"/>
      <c r="B369" s="531"/>
      <c r="C369" s="438"/>
      <c r="D369" s="438"/>
      <c r="E369" s="438"/>
      <c r="F369" s="438"/>
      <c r="G369" s="437"/>
      <c r="H369" s="437"/>
      <c r="I369" s="437"/>
      <c r="J369" s="437"/>
      <c r="K369" s="438"/>
      <c r="L369" s="437"/>
      <c r="M369" s="437"/>
      <c r="N369" s="437"/>
      <c r="O369" s="437"/>
      <c r="P369" s="438"/>
      <c r="Q369" s="437"/>
      <c r="R369" s="437"/>
      <c r="S369" s="437"/>
      <c r="T369" s="437"/>
      <c r="U369" s="438"/>
      <c r="V369" s="437"/>
      <c r="W369" s="437"/>
      <c r="X369" s="437"/>
      <c r="Y369" s="437"/>
      <c r="Z369" s="438"/>
      <c r="AA369" s="437"/>
      <c r="AB369" s="437"/>
      <c r="AC369" s="437"/>
      <c r="AD369" s="437"/>
      <c r="AE369" s="438"/>
      <c r="AF369" s="439"/>
      <c r="AG369" s="439"/>
      <c r="AH369" s="439"/>
      <c r="AI369" s="437"/>
      <c r="AJ369" s="438"/>
      <c r="AK369" s="439"/>
      <c r="AL369" s="439"/>
      <c r="AM369" s="439"/>
      <c r="AN369" s="437"/>
      <c r="AO369" s="438"/>
      <c r="AP369" s="439"/>
      <c r="AQ369" s="439"/>
      <c r="AR369" s="439"/>
      <c r="AS369" s="437"/>
      <c r="AT369" s="438"/>
      <c r="AU369" s="439"/>
      <c r="AV369" s="439"/>
      <c r="AW369" s="726"/>
      <c r="AX369" s="437"/>
      <c r="AY369" s="438"/>
      <c r="AZ369" s="437"/>
      <c r="BA369" s="437"/>
      <c r="BB369" s="437"/>
      <c r="BC369" s="437"/>
      <c r="BD369" s="438"/>
      <c r="BE369" s="438"/>
      <c r="BF369" s="438"/>
      <c r="BG369" s="438"/>
      <c r="BH369" s="368"/>
    </row>
    <row r="370" spans="1:60" s="116" customFormat="1" hidden="1" outlineLevel="1" x14ac:dyDescent="0.25">
      <c r="A370" s="436" t="s">
        <v>668</v>
      </c>
      <c r="B370" s="531"/>
      <c r="C370" s="438"/>
      <c r="D370" s="438"/>
      <c r="E370" s="438"/>
      <c r="F370" s="438"/>
      <c r="G370" s="437"/>
      <c r="H370" s="437"/>
      <c r="I370" s="437"/>
      <c r="J370" s="437"/>
      <c r="K370" s="438"/>
      <c r="L370" s="437"/>
      <c r="M370" s="437"/>
      <c r="N370" s="437"/>
      <c r="O370" s="437"/>
      <c r="P370" s="438"/>
      <c r="Q370" s="437"/>
      <c r="R370" s="437"/>
      <c r="S370" s="437"/>
      <c r="T370" s="437"/>
      <c r="U370" s="438"/>
      <c r="V370" s="368">
        <f>519.318-W370</f>
        <v>246.74799999999999</v>
      </c>
      <c r="W370" s="34">
        <v>272.57</v>
      </c>
      <c r="X370" s="437"/>
      <c r="Y370" s="437"/>
      <c r="Z370" s="438"/>
      <c r="AA370" s="368">
        <v>626.92499999999995</v>
      </c>
      <c r="AB370" s="34">
        <v>638.60500000000002</v>
      </c>
      <c r="AC370" s="34">
        <v>432.04300000000001</v>
      </c>
      <c r="AD370" s="368">
        <v>511.02300000000002</v>
      </c>
      <c r="AE370" s="33">
        <v>2208.596</v>
      </c>
      <c r="AF370" s="368">
        <v>539.42399999999998</v>
      </c>
      <c r="AG370" s="34">
        <v>691.02700000000004</v>
      </c>
      <c r="AH370" s="34">
        <v>1573.5640000000001</v>
      </c>
      <c r="AI370" s="368">
        <v>1536.971</v>
      </c>
      <c r="AJ370" s="33">
        <v>4340.9859999999999</v>
      </c>
      <c r="AK370" s="368">
        <v>750.56</v>
      </c>
      <c r="AL370" s="34">
        <v>1016.304</v>
      </c>
      <c r="AM370" s="34">
        <v>1222</v>
      </c>
      <c r="AN370" s="368">
        <v>1434</v>
      </c>
      <c r="AO370" s="33">
        <f>SUM(AK370,AL370,AM370,AN370)</f>
        <v>4422.8639999999996</v>
      </c>
      <c r="AP370" s="368">
        <v>1311</v>
      </c>
      <c r="AQ370" s="34">
        <v>1317</v>
      </c>
      <c r="AR370" s="34">
        <v>2105</v>
      </c>
      <c r="AS370" s="368">
        <v>2244</v>
      </c>
      <c r="AT370" s="33">
        <f>SUM(AP370,AQ370,AR370,AS370)</f>
        <v>6977</v>
      </c>
      <c r="AU370" s="368">
        <v>2385</v>
      </c>
      <c r="AV370" s="34">
        <v>2899</v>
      </c>
      <c r="AW370" s="793">
        <v>3673</v>
      </c>
      <c r="AX370" s="437"/>
      <c r="AY370" s="438"/>
      <c r="AZ370" s="437"/>
      <c r="BA370" s="437"/>
      <c r="BB370" s="437"/>
      <c r="BC370" s="437"/>
      <c r="BD370" s="438"/>
      <c r="BE370" s="438"/>
      <c r="BF370" s="438"/>
      <c r="BG370" s="438"/>
      <c r="BH370" s="368"/>
    </row>
    <row r="371" spans="1:60" s="356" customFormat="1" hidden="1" outlineLevel="1" x14ac:dyDescent="0.25">
      <c r="A371" s="360" t="s">
        <v>103</v>
      </c>
      <c r="B371" s="450"/>
      <c r="C371" s="440"/>
      <c r="D371" s="440"/>
      <c r="E371" s="440"/>
      <c r="F371" s="440"/>
      <c r="G371" s="439"/>
      <c r="H371" s="439"/>
      <c r="I371" s="439"/>
      <c r="J371" s="439"/>
      <c r="K371" s="440"/>
      <c r="L371" s="439"/>
      <c r="M371" s="439"/>
      <c r="N371" s="439"/>
      <c r="O371" s="439"/>
      <c r="P371" s="440"/>
      <c r="Q371" s="439"/>
      <c r="R371" s="439"/>
      <c r="S371" s="439"/>
      <c r="T371" s="439"/>
      <c r="U371" s="440"/>
      <c r="V371" s="361">
        <f>12.898-W371</f>
        <v>6.4029999999999996</v>
      </c>
      <c r="W371" s="36">
        <v>6.4950000000000001</v>
      </c>
      <c r="X371" s="439"/>
      <c r="Y371" s="439"/>
      <c r="Z371" s="440"/>
      <c r="AA371" s="361">
        <v>10.031000000000001</v>
      </c>
      <c r="AB371" s="36">
        <v>7.4660000000000002</v>
      </c>
      <c r="AC371" s="36">
        <v>10.166</v>
      </c>
      <c r="AD371" s="361">
        <v>16.181999999999999</v>
      </c>
      <c r="AE371" s="35">
        <v>43.844999999999999</v>
      </c>
      <c r="AF371" s="361">
        <v>15.077999999999999</v>
      </c>
      <c r="AG371" s="36">
        <v>13.198</v>
      </c>
      <c r="AH371" s="36">
        <v>20.954999999999998</v>
      </c>
      <c r="AI371" s="361">
        <v>22.565999999999999</v>
      </c>
      <c r="AJ371" s="35">
        <v>71.796999999999997</v>
      </c>
      <c r="AK371" s="361">
        <v>16.559999999999999</v>
      </c>
      <c r="AL371" s="439"/>
      <c r="AM371" s="439"/>
      <c r="AN371" s="439"/>
      <c r="AO371" s="440"/>
      <c r="AP371" s="439"/>
      <c r="AQ371" s="439"/>
      <c r="AR371" s="439"/>
      <c r="AS371" s="439"/>
      <c r="AT371" s="440"/>
      <c r="AU371" s="439"/>
      <c r="AV371" s="439"/>
      <c r="AW371" s="726"/>
      <c r="AX371" s="439"/>
      <c r="AY371" s="440"/>
      <c r="AZ371" s="439"/>
      <c r="BA371" s="439"/>
      <c r="BB371" s="439"/>
      <c r="BC371" s="439"/>
      <c r="BD371" s="440"/>
      <c r="BE371" s="440"/>
      <c r="BF371" s="440"/>
      <c r="BG371" s="440"/>
      <c r="BH371" s="361"/>
    </row>
    <row r="372" spans="1:60" s="356" customFormat="1" hidden="1" outlineLevel="1" x14ac:dyDescent="0.25">
      <c r="A372" s="360" t="s">
        <v>114</v>
      </c>
      <c r="B372" s="450"/>
      <c r="C372" s="440"/>
      <c r="D372" s="440"/>
      <c r="E372" s="440"/>
      <c r="F372" s="440"/>
      <c r="G372" s="439"/>
      <c r="H372" s="439"/>
      <c r="I372" s="439"/>
      <c r="J372" s="439"/>
      <c r="K372" s="440"/>
      <c r="L372" s="439"/>
      <c r="M372" s="439"/>
      <c r="N372" s="439"/>
      <c r="O372" s="439"/>
      <c r="P372" s="440"/>
      <c r="Q372" s="439"/>
      <c r="R372" s="439"/>
      <c r="S372" s="439"/>
      <c r="T372" s="439"/>
      <c r="U372" s="440"/>
      <c r="V372" s="361">
        <f>-57.051-W372</f>
        <v>-56.987000000000002</v>
      </c>
      <c r="W372" s="36">
        <v>-6.4000000000000001E-2</v>
      </c>
      <c r="X372" s="439"/>
      <c r="Y372" s="439"/>
      <c r="Z372" s="440"/>
      <c r="AA372" s="361">
        <v>0</v>
      </c>
      <c r="AB372" s="36">
        <v>-100</v>
      </c>
      <c r="AC372" s="36">
        <v>-0.57499999999999996</v>
      </c>
      <c r="AD372" s="361">
        <v>-179.142</v>
      </c>
      <c r="AE372" s="35">
        <v>-279.71699999999998</v>
      </c>
      <c r="AF372" s="361">
        <v>-50.314</v>
      </c>
      <c r="AG372" s="36">
        <v>0</v>
      </c>
      <c r="AH372" s="36">
        <v>-52.268999999999998</v>
      </c>
      <c r="AI372" s="361">
        <v>-0.76800000000000002</v>
      </c>
      <c r="AJ372" s="35">
        <v>-103.351</v>
      </c>
      <c r="AK372" s="361">
        <v>-15.412000000000001</v>
      </c>
      <c r="AL372" s="439"/>
      <c r="AM372" s="439"/>
      <c r="AN372" s="439"/>
      <c r="AO372" s="440"/>
      <c r="AP372" s="439"/>
      <c r="AQ372" s="439"/>
      <c r="AR372" s="439"/>
      <c r="AS372" s="439"/>
      <c r="AT372" s="440"/>
      <c r="AU372" s="439"/>
      <c r="AV372" s="439"/>
      <c r="AW372" s="726"/>
      <c r="AX372" s="439"/>
      <c r="AY372" s="440"/>
      <c r="AZ372" s="439"/>
      <c r="BA372" s="439"/>
      <c r="BB372" s="439"/>
      <c r="BC372" s="439"/>
      <c r="BD372" s="440"/>
      <c r="BE372" s="440"/>
      <c r="BF372" s="440"/>
      <c r="BG372" s="440"/>
      <c r="BH372" s="361"/>
    </row>
    <row r="373" spans="1:60" s="116" customFormat="1" hidden="1" outlineLevel="1" x14ac:dyDescent="0.25">
      <c r="A373" s="86" t="s">
        <v>669</v>
      </c>
      <c r="B373" s="529"/>
      <c r="C373" s="45"/>
      <c r="D373" s="45"/>
      <c r="E373" s="45"/>
      <c r="F373" s="45"/>
      <c r="G373" s="44"/>
      <c r="H373" s="44"/>
      <c r="I373" s="44"/>
      <c r="J373" s="44"/>
      <c r="K373" s="45"/>
      <c r="L373" s="44"/>
      <c r="M373" s="44"/>
      <c r="N373" s="44"/>
      <c r="O373" s="44"/>
      <c r="P373" s="45"/>
      <c r="Q373" s="44"/>
      <c r="R373" s="44"/>
      <c r="S373" s="44"/>
      <c r="T373" s="44"/>
      <c r="U373" s="45"/>
      <c r="V373" s="44"/>
      <c r="W373" s="44"/>
      <c r="X373" s="44"/>
      <c r="Y373" s="44"/>
      <c r="Z373" s="45"/>
      <c r="AA373" s="30">
        <f>SUM(AA370:AA372)</f>
        <v>636.9559999999999</v>
      </c>
      <c r="AB373" s="31">
        <f>SUM(AB370:AB372)</f>
        <v>546.07100000000003</v>
      </c>
      <c r="AC373" s="31">
        <f>SUM(AC370:AC372)</f>
        <v>441.63400000000001</v>
      </c>
      <c r="AD373" s="30">
        <f>SUM(AD370:AD372)</f>
        <v>348.06300000000005</v>
      </c>
      <c r="AE373" s="29">
        <f>SUM(AE370:AE372)</f>
        <v>1972.7239999999997</v>
      </c>
      <c r="AF373" s="30">
        <v>504.18799999999999</v>
      </c>
      <c r="AG373" s="31">
        <f>SUM(AG370:AG372)</f>
        <v>704.22500000000002</v>
      </c>
      <c r="AH373" s="31">
        <f>SUM(AH370:AH372)</f>
        <v>1542.25</v>
      </c>
      <c r="AI373" s="30">
        <f>SUM(AI370:AI372)</f>
        <v>1558.769</v>
      </c>
      <c r="AJ373" s="29">
        <f>SUM(AJ370:AJ372)</f>
        <v>4309.4319999999998</v>
      </c>
      <c r="AK373" s="30">
        <f>SUM(AK370:AK372)</f>
        <v>751.70799999999986</v>
      </c>
      <c r="AL373" s="44"/>
      <c r="AM373" s="44"/>
      <c r="AN373" s="44"/>
      <c r="AO373" s="45"/>
      <c r="AP373" s="44"/>
      <c r="AQ373" s="44"/>
      <c r="AR373" s="44"/>
      <c r="AS373" s="44"/>
      <c r="AT373" s="45"/>
      <c r="AU373" s="44"/>
      <c r="AV373" s="44"/>
      <c r="AW373" s="729"/>
      <c r="AX373" s="44"/>
      <c r="AY373" s="45"/>
      <c r="AZ373" s="44"/>
      <c r="BA373" s="44"/>
      <c r="BB373" s="44"/>
      <c r="BC373" s="44"/>
      <c r="BD373" s="45"/>
      <c r="BE373" s="45"/>
      <c r="BF373" s="45"/>
      <c r="BG373" s="45"/>
      <c r="BH373" s="368"/>
    </row>
    <row r="374" spans="1:60" s="116" customFormat="1" hidden="1" outlineLevel="1" x14ac:dyDescent="0.25">
      <c r="A374" s="530"/>
      <c r="B374" s="531"/>
      <c r="C374" s="438"/>
      <c r="D374" s="438"/>
      <c r="E374" s="438"/>
      <c r="F374" s="438"/>
      <c r="G374" s="437"/>
      <c r="H374" s="437"/>
      <c r="I374" s="437"/>
      <c r="J374" s="437"/>
      <c r="K374" s="438"/>
      <c r="L374" s="437"/>
      <c r="M374" s="437"/>
      <c r="N374" s="437"/>
      <c r="O374" s="437"/>
      <c r="P374" s="438"/>
      <c r="Q374" s="437"/>
      <c r="R374" s="437"/>
      <c r="S374" s="437"/>
      <c r="T374" s="437"/>
      <c r="U374" s="438"/>
      <c r="V374" s="437"/>
      <c r="W374" s="437"/>
      <c r="X374" s="437"/>
      <c r="Y374" s="437"/>
      <c r="Z374" s="438"/>
      <c r="AA374" s="437"/>
      <c r="AB374" s="437"/>
      <c r="AC374" s="437"/>
      <c r="AD374" s="437"/>
      <c r="AE374" s="438"/>
      <c r="AF374" s="437"/>
      <c r="AG374" s="437"/>
      <c r="AH374" s="437"/>
      <c r="AI374" s="437"/>
      <c r="AJ374" s="438"/>
      <c r="AK374" s="437"/>
      <c r="AL374" s="437"/>
      <c r="AM374" s="437"/>
      <c r="AN374" s="437"/>
      <c r="AO374" s="438"/>
      <c r="AP374" s="437"/>
      <c r="AQ374" s="437"/>
      <c r="AR374" s="437"/>
      <c r="AS374" s="437"/>
      <c r="AT374" s="438"/>
      <c r="AU374" s="437"/>
      <c r="AV374" s="437"/>
      <c r="AW374" s="725"/>
      <c r="AX374" s="437"/>
      <c r="AY374" s="438"/>
      <c r="AZ374" s="437"/>
      <c r="BA374" s="437"/>
      <c r="BB374" s="437"/>
      <c r="BC374" s="437"/>
      <c r="BD374" s="438"/>
      <c r="BE374" s="438"/>
      <c r="BF374" s="438"/>
      <c r="BG374" s="438"/>
      <c r="BH374" s="368"/>
    </row>
    <row r="375" spans="1:60" s="116" customFormat="1" hidden="1" outlineLevel="1" x14ac:dyDescent="0.25">
      <c r="A375" s="436" t="s">
        <v>671</v>
      </c>
      <c r="B375" s="531"/>
      <c r="C375" s="438"/>
      <c r="D375" s="438"/>
      <c r="E375" s="438"/>
      <c r="F375" s="438"/>
      <c r="G375" s="437"/>
      <c r="H375" s="437"/>
      <c r="I375" s="437"/>
      <c r="J375" s="437"/>
      <c r="K375" s="438"/>
      <c r="L375" s="437"/>
      <c r="M375" s="437"/>
      <c r="N375" s="437"/>
      <c r="O375" s="437"/>
      <c r="P375" s="438"/>
      <c r="Q375" s="437"/>
      <c r="R375" s="437"/>
      <c r="S375" s="437"/>
      <c r="T375" s="437"/>
      <c r="U375" s="438"/>
      <c r="V375" s="437"/>
      <c r="W375" s="437"/>
      <c r="X375" s="437"/>
      <c r="Y375" s="437"/>
      <c r="Z375" s="438"/>
      <c r="AA375" s="437"/>
      <c r="AB375" s="437"/>
      <c r="AC375" s="437"/>
      <c r="AD375" s="437"/>
      <c r="AE375" s="438"/>
      <c r="AF375" s="437"/>
      <c r="AG375" s="437"/>
      <c r="AH375" s="437"/>
      <c r="AI375" s="437"/>
      <c r="AJ375" s="438"/>
      <c r="AK375" s="368">
        <f t="shared" ref="AK375:AW375" si="324">AK356</f>
        <v>-702.13500000000022</v>
      </c>
      <c r="AL375" s="34">
        <f t="shared" si="324"/>
        <v>-408.33400000000057</v>
      </c>
      <c r="AM375" s="34">
        <f t="shared" si="324"/>
        <v>143</v>
      </c>
      <c r="AN375" s="368">
        <f t="shared" si="324"/>
        <v>105.46899999999955</v>
      </c>
      <c r="AO375" s="33">
        <f t="shared" si="324"/>
        <v>-862</v>
      </c>
      <c r="AP375" s="368">
        <f t="shared" si="324"/>
        <v>16</v>
      </c>
      <c r="AQ375" s="34">
        <f t="shared" si="324"/>
        <v>104</v>
      </c>
      <c r="AR375" s="34">
        <f t="shared" si="324"/>
        <v>331</v>
      </c>
      <c r="AS375" s="368">
        <f t="shared" si="324"/>
        <v>270</v>
      </c>
      <c r="AT375" s="33">
        <f t="shared" si="324"/>
        <v>721</v>
      </c>
      <c r="AU375" s="368">
        <f t="shared" si="324"/>
        <v>438</v>
      </c>
      <c r="AV375" s="34">
        <f t="shared" si="324"/>
        <v>1142</v>
      </c>
      <c r="AW375" s="793">
        <f t="shared" si="324"/>
        <v>1618</v>
      </c>
      <c r="AX375" s="437"/>
      <c r="AY375" s="438"/>
      <c r="AZ375" s="437"/>
      <c r="BA375" s="437"/>
      <c r="BB375" s="437"/>
      <c r="BC375" s="437"/>
      <c r="BD375" s="438"/>
      <c r="BE375" s="438"/>
      <c r="BF375" s="438"/>
      <c r="BG375" s="438"/>
      <c r="BH375" s="368"/>
    </row>
    <row r="376" spans="1:60" s="356" customFormat="1" hidden="1" outlineLevel="1" x14ac:dyDescent="0.25">
      <c r="A376" s="526" t="s">
        <v>468</v>
      </c>
      <c r="B376" s="450"/>
      <c r="C376" s="440"/>
      <c r="D376" s="440"/>
      <c r="E376" s="440"/>
      <c r="F376" s="440"/>
      <c r="G376" s="439"/>
      <c r="H376" s="439"/>
      <c r="I376" s="439"/>
      <c r="J376" s="439"/>
      <c r="K376" s="440"/>
      <c r="L376" s="439"/>
      <c r="M376" s="439"/>
      <c r="N376" s="439"/>
      <c r="O376" s="439"/>
      <c r="P376" s="440"/>
      <c r="Q376" s="439"/>
      <c r="R376" s="439"/>
      <c r="S376" s="439"/>
      <c r="T376" s="439"/>
      <c r="U376" s="440"/>
      <c r="V376" s="439"/>
      <c r="W376" s="439"/>
      <c r="X376" s="439"/>
      <c r="Y376" s="439"/>
      <c r="Z376" s="440"/>
      <c r="AA376" s="439"/>
      <c r="AB376" s="439"/>
      <c r="AC376" s="439"/>
      <c r="AD376" s="439"/>
      <c r="AE376" s="440"/>
      <c r="AF376" s="439"/>
      <c r="AG376" s="439"/>
      <c r="AH376" s="439"/>
      <c r="AI376" s="439"/>
      <c r="AJ376" s="440"/>
      <c r="AK376" s="439">
        <v>-7.6</v>
      </c>
      <c r="AL376" s="439"/>
      <c r="AM376" s="439"/>
      <c r="AN376" s="439">
        <f>AO376-SUM(AK376,AL376,AM376)</f>
        <v>-0.40000000000000036</v>
      </c>
      <c r="AO376" s="440">
        <v>-8</v>
      </c>
      <c r="AP376" s="439"/>
      <c r="AQ376" s="439"/>
      <c r="AR376" s="439">
        <v>-31</v>
      </c>
      <c r="AS376" s="439">
        <f>AT376-SUM(AP376,AQ376,AR376)</f>
        <v>0</v>
      </c>
      <c r="AT376" s="440">
        <v>-31</v>
      </c>
      <c r="AU376" s="439"/>
      <c r="AV376" s="439"/>
      <c r="AW376" s="726"/>
      <c r="AX376" s="439"/>
      <c r="AY376" s="440"/>
      <c r="AZ376" s="439"/>
      <c r="BA376" s="439"/>
      <c r="BB376" s="439"/>
      <c r="BC376" s="439"/>
      <c r="BD376" s="440"/>
      <c r="BE376" s="440"/>
      <c r="BF376" s="440"/>
      <c r="BG376" s="440"/>
      <c r="BH376" s="361"/>
    </row>
    <row r="377" spans="1:60" s="356" customFormat="1" hidden="1" outlineLevel="1" x14ac:dyDescent="0.25">
      <c r="A377" s="526" t="s">
        <v>583</v>
      </c>
      <c r="B377" s="450"/>
      <c r="C377" s="440"/>
      <c r="D377" s="440"/>
      <c r="E377" s="440"/>
      <c r="F377" s="440"/>
      <c r="G377" s="439"/>
      <c r="H377" s="439"/>
      <c r="I377" s="439"/>
      <c r="J377" s="439"/>
      <c r="K377" s="440"/>
      <c r="L377" s="439"/>
      <c r="M377" s="439"/>
      <c r="N377" s="439"/>
      <c r="O377" s="439"/>
      <c r="P377" s="440"/>
      <c r="Q377" s="439"/>
      <c r="R377" s="439"/>
      <c r="S377" s="439"/>
      <c r="T377" s="439"/>
      <c r="U377" s="440"/>
      <c r="V377" s="439"/>
      <c r="W377" s="439"/>
      <c r="X377" s="439"/>
      <c r="Y377" s="439"/>
      <c r="Z377" s="440"/>
      <c r="AA377" s="439"/>
      <c r="AB377" s="439"/>
      <c r="AC377" s="439"/>
      <c r="AD377" s="439"/>
      <c r="AE377" s="440"/>
      <c r="AF377" s="439"/>
      <c r="AG377" s="439"/>
      <c r="AH377" s="439"/>
      <c r="AI377" s="439"/>
      <c r="AJ377" s="440"/>
      <c r="AK377" s="439"/>
      <c r="AL377" s="439"/>
      <c r="AM377" s="439"/>
      <c r="AN377" s="439"/>
      <c r="AO377" s="440"/>
      <c r="AP377" s="439"/>
      <c r="AQ377" s="439"/>
      <c r="AR377" s="439"/>
      <c r="AS377" s="439"/>
      <c r="AT377" s="440"/>
      <c r="AU377" s="439">
        <v>5</v>
      </c>
      <c r="AV377" s="439">
        <v>2</v>
      </c>
      <c r="AW377" s="726">
        <v>1</v>
      </c>
      <c r="AX377" s="439"/>
      <c r="AY377" s="440"/>
      <c r="AZ377" s="439"/>
      <c r="BA377" s="439"/>
      <c r="BB377" s="439"/>
      <c r="BC377" s="439"/>
      <c r="BD377" s="440"/>
      <c r="BE377" s="440"/>
      <c r="BF377" s="440"/>
      <c r="BG377" s="440"/>
      <c r="BH377" s="361"/>
    </row>
    <row r="378" spans="1:60" s="116" customFormat="1" hidden="1" outlineLevel="1" x14ac:dyDescent="0.25">
      <c r="A378" s="86" t="s">
        <v>672</v>
      </c>
      <c r="B378" s="529"/>
      <c r="C378" s="45"/>
      <c r="D378" s="45"/>
      <c r="E378" s="45"/>
      <c r="F378" s="45"/>
      <c r="G378" s="44"/>
      <c r="H378" s="44"/>
      <c r="I378" s="44"/>
      <c r="J378" s="44"/>
      <c r="K378" s="45"/>
      <c r="L378" s="44"/>
      <c r="M378" s="44"/>
      <c r="N378" s="44"/>
      <c r="O378" s="44"/>
      <c r="P378" s="45"/>
      <c r="Q378" s="44"/>
      <c r="R378" s="44"/>
      <c r="S378" s="44"/>
      <c r="T378" s="44"/>
      <c r="U378" s="45"/>
      <c r="V378" s="44"/>
      <c r="W378" s="44"/>
      <c r="X378" s="44"/>
      <c r="Y378" s="44"/>
      <c r="Z378" s="45"/>
      <c r="AA378" s="44"/>
      <c r="AB378" s="44"/>
      <c r="AC378" s="44"/>
      <c r="AD378" s="44"/>
      <c r="AE378" s="45"/>
      <c r="AF378" s="44"/>
      <c r="AG378" s="44"/>
      <c r="AH378" s="44"/>
      <c r="AI378" s="44"/>
      <c r="AJ378" s="45"/>
      <c r="AK378" s="30">
        <f t="shared" ref="AK378:AN378" si="325">AK375+AK376</f>
        <v>-709.73500000000024</v>
      </c>
      <c r="AL378" s="31">
        <f t="shared" si="325"/>
        <v>-408.33400000000057</v>
      </c>
      <c r="AM378" s="31">
        <f t="shared" si="325"/>
        <v>143</v>
      </c>
      <c r="AN378" s="30">
        <f t="shared" si="325"/>
        <v>105.06899999999955</v>
      </c>
      <c r="AO378" s="29">
        <f t="shared" ref="AO378:AT378" si="326">AO375+AO376+AO377</f>
        <v>-870</v>
      </c>
      <c r="AP378" s="30">
        <f t="shared" si="326"/>
        <v>16</v>
      </c>
      <c r="AQ378" s="31">
        <f t="shared" si="326"/>
        <v>104</v>
      </c>
      <c r="AR378" s="31">
        <f t="shared" si="326"/>
        <v>300</v>
      </c>
      <c r="AS378" s="30">
        <f t="shared" si="326"/>
        <v>270</v>
      </c>
      <c r="AT378" s="29">
        <f t="shared" si="326"/>
        <v>690</v>
      </c>
      <c r="AU378" s="30">
        <f>AU375+AU376+AU377</f>
        <v>443</v>
      </c>
      <c r="AV378" s="31">
        <f>AV375+AV376+AV377</f>
        <v>1144</v>
      </c>
      <c r="AW378" s="795">
        <f>AW375+AW376+AW377</f>
        <v>1619</v>
      </c>
      <c r="AX378" s="44"/>
      <c r="AY378" s="45"/>
      <c r="AZ378" s="44"/>
      <c r="BA378" s="44"/>
      <c r="BB378" s="44"/>
      <c r="BC378" s="44"/>
      <c r="BD378" s="45"/>
      <c r="BE378" s="45"/>
      <c r="BF378" s="45"/>
      <c r="BG378" s="45"/>
      <c r="BH378" s="368"/>
    </row>
    <row r="379" spans="1:60" s="112" customFormat="1" collapsed="1" x14ac:dyDescent="0.25">
      <c r="A379" s="506"/>
      <c r="B379" s="507"/>
      <c r="C379" s="1045"/>
      <c r="D379" s="1045"/>
      <c r="E379" s="1045"/>
      <c r="F379" s="1045"/>
      <c r="G379" s="1046"/>
      <c r="H379" s="1046"/>
      <c r="I379" s="1046"/>
      <c r="J379" s="1046"/>
      <c r="K379" s="1045"/>
      <c r="L379" s="1046"/>
      <c r="M379" s="1046"/>
      <c r="N379" s="1046"/>
      <c r="O379" s="1046"/>
      <c r="P379" s="1045"/>
      <c r="Q379" s="1046"/>
      <c r="R379" s="1046"/>
      <c r="S379" s="1046"/>
      <c r="T379" s="1046"/>
      <c r="U379" s="1045"/>
      <c r="V379" s="1046"/>
      <c r="W379" s="1046"/>
      <c r="X379" s="1046"/>
      <c r="Y379" s="1046"/>
      <c r="Z379" s="1045"/>
      <c r="AA379" s="1046"/>
      <c r="AB379" s="1046"/>
      <c r="AC379" s="1046"/>
      <c r="AD379" s="1046"/>
      <c r="AE379" s="1045"/>
      <c r="AF379" s="1046"/>
      <c r="AG379" s="1046"/>
      <c r="AH379" s="1046"/>
      <c r="AI379" s="1046"/>
      <c r="AJ379" s="1045"/>
      <c r="AK379" s="1046"/>
      <c r="AL379" s="1046"/>
      <c r="AM379" s="1046"/>
      <c r="AN379" s="1046"/>
      <c r="AO379" s="1045"/>
      <c r="AP379" s="1046"/>
      <c r="AQ379" s="1046"/>
      <c r="AR379" s="1046"/>
      <c r="AS379" s="1046"/>
      <c r="AT379" s="1045"/>
      <c r="AU379" s="1046"/>
      <c r="AV379" s="1046"/>
      <c r="AW379" s="1047"/>
      <c r="AX379" s="1046"/>
      <c r="AY379" s="1045"/>
      <c r="AZ379" s="1046"/>
      <c r="BA379" s="1046"/>
      <c r="BB379" s="1046"/>
      <c r="BC379" s="1046"/>
      <c r="BD379" s="1045"/>
      <c r="BE379" s="1045"/>
      <c r="BF379" s="1045"/>
      <c r="BG379" s="1045"/>
      <c r="BH379" s="1034"/>
    </row>
    <row r="380" spans="1:60" s="112" customFormat="1" x14ac:dyDescent="0.25">
      <c r="A380" s="1020" t="s">
        <v>115</v>
      </c>
      <c r="B380" s="1020"/>
      <c r="C380" s="1043"/>
      <c r="D380" s="1043"/>
      <c r="E380" s="1043"/>
      <c r="F380" s="1043"/>
      <c r="G380" s="1043"/>
      <c r="H380" s="1043"/>
      <c r="I380" s="1043"/>
      <c r="J380" s="1043"/>
      <c r="K380" s="1043"/>
      <c r="L380" s="1043"/>
      <c r="M380" s="1043"/>
      <c r="N380" s="1043"/>
      <c r="O380" s="1043"/>
      <c r="P380" s="1043"/>
      <c r="Q380" s="1043"/>
      <c r="R380" s="1043"/>
      <c r="S380" s="1043"/>
      <c r="T380" s="1043"/>
      <c r="U380" s="1043"/>
      <c r="V380" s="1043"/>
      <c r="W380" s="1043"/>
      <c r="X380" s="1043"/>
      <c r="Y380" s="1043"/>
      <c r="Z380" s="1043"/>
      <c r="AA380" s="1043"/>
      <c r="AB380" s="1043"/>
      <c r="AC380" s="1043"/>
      <c r="AD380" s="1043"/>
      <c r="AE380" s="1043"/>
      <c r="AF380" s="1043"/>
      <c r="AG380" s="1043"/>
      <c r="AH380" s="1043"/>
      <c r="AI380" s="1043"/>
      <c r="AJ380" s="1043"/>
      <c r="AK380" s="1043"/>
      <c r="AL380" s="1043"/>
      <c r="AM380" s="1043"/>
      <c r="AN380" s="1043"/>
      <c r="AO380" s="1043"/>
      <c r="AP380" s="1043"/>
      <c r="AQ380" s="1043"/>
      <c r="AR380" s="1043"/>
      <c r="AS380" s="1043"/>
      <c r="AT380" s="1043"/>
      <c r="AU380" s="1043"/>
      <c r="AV380" s="1043"/>
      <c r="AW380" s="1044"/>
      <c r="AX380" s="1043"/>
      <c r="AY380" s="1043"/>
      <c r="AZ380" s="1043"/>
      <c r="BA380" s="1043"/>
      <c r="BB380" s="1043"/>
      <c r="BC380" s="1043"/>
      <c r="BD380" s="1043"/>
      <c r="BE380" s="1043"/>
      <c r="BF380" s="1043"/>
      <c r="BG380" s="1043"/>
      <c r="BH380" s="1034"/>
    </row>
    <row r="381" spans="1:60" s="116" customFormat="1" x14ac:dyDescent="0.25">
      <c r="A381" s="436" t="s">
        <v>116</v>
      </c>
      <c r="B381" s="531"/>
      <c r="C381" s="33">
        <f t="shared" ref="C381:AW381" si="327">C337</f>
        <v>111.943</v>
      </c>
      <c r="D381" s="33">
        <f t="shared" si="327"/>
        <v>116.744</v>
      </c>
      <c r="E381" s="33">
        <f t="shared" si="327"/>
        <v>204.24200000000002</v>
      </c>
      <c r="F381" s="33">
        <f t="shared" si="327"/>
        <v>413.25600000000003</v>
      </c>
      <c r="G381" s="368">
        <f t="shared" si="327"/>
        <v>561.79200000000003</v>
      </c>
      <c r="H381" s="368">
        <f t="shared" si="327"/>
        <v>405.13900000000001</v>
      </c>
      <c r="I381" s="368">
        <f t="shared" si="327"/>
        <v>431.346</v>
      </c>
      <c r="J381" s="368">
        <f t="shared" si="327"/>
        <v>615.21900000000005</v>
      </c>
      <c r="K381" s="33">
        <f t="shared" si="327"/>
        <v>2013.4960000000001</v>
      </c>
      <c r="L381" s="368">
        <f t="shared" si="327"/>
        <v>620.54200000000003</v>
      </c>
      <c r="M381" s="368">
        <f t="shared" si="327"/>
        <v>769.34899999999993</v>
      </c>
      <c r="N381" s="368">
        <f t="shared" si="327"/>
        <v>851.80399999999997</v>
      </c>
      <c r="O381" s="368">
        <f t="shared" si="327"/>
        <v>956.66099999999994</v>
      </c>
      <c r="P381" s="33">
        <f t="shared" si="327"/>
        <v>3198.3560000000002</v>
      </c>
      <c r="Q381" s="368">
        <f t="shared" si="327"/>
        <v>939.88000000000011</v>
      </c>
      <c r="R381" s="368">
        <f t="shared" si="327"/>
        <v>954.976</v>
      </c>
      <c r="S381" s="368">
        <f t="shared" si="327"/>
        <v>936.78899999999999</v>
      </c>
      <c r="T381" s="368">
        <f t="shared" si="327"/>
        <v>1214.3800000000001</v>
      </c>
      <c r="U381" s="33">
        <f t="shared" si="327"/>
        <v>4046.0250000000001</v>
      </c>
      <c r="V381" s="368">
        <f t="shared" si="327"/>
        <v>1147.048</v>
      </c>
      <c r="W381" s="34">
        <f t="shared" si="327"/>
        <v>1270.0170000000001</v>
      </c>
      <c r="X381" s="34">
        <f t="shared" si="327"/>
        <v>2298.4359999999997</v>
      </c>
      <c r="Y381" s="368">
        <f t="shared" si="327"/>
        <v>2284.6309999999999</v>
      </c>
      <c r="Z381" s="33">
        <f t="shared" si="327"/>
        <v>7000.1319999999996</v>
      </c>
      <c r="AA381" s="368">
        <f t="shared" si="327"/>
        <v>2696.27</v>
      </c>
      <c r="AB381" s="34">
        <f t="shared" si="327"/>
        <v>2789.5569999999998</v>
      </c>
      <c r="AC381" s="34">
        <f t="shared" si="327"/>
        <v>2984.6750000000002</v>
      </c>
      <c r="AD381" s="368">
        <f t="shared" si="327"/>
        <v>3288.2489999999993</v>
      </c>
      <c r="AE381" s="33">
        <f t="shared" si="327"/>
        <v>11758.751</v>
      </c>
      <c r="AF381" s="368">
        <f t="shared" si="327"/>
        <v>3408.7509999999997</v>
      </c>
      <c r="AG381" s="34">
        <f t="shared" si="327"/>
        <v>4002.2309999999993</v>
      </c>
      <c r="AH381" s="34">
        <f t="shared" si="327"/>
        <v>6824.4130000000005</v>
      </c>
      <c r="AI381" s="368">
        <f t="shared" si="327"/>
        <v>7225.8730000000005</v>
      </c>
      <c r="AJ381" s="33">
        <f t="shared" si="327"/>
        <v>21461.268</v>
      </c>
      <c r="AK381" s="368">
        <f t="shared" si="327"/>
        <v>4541.4639999999999</v>
      </c>
      <c r="AL381" s="34">
        <f t="shared" si="327"/>
        <v>6349.6759999999995</v>
      </c>
      <c r="AM381" s="34">
        <f t="shared" si="327"/>
        <v>6303</v>
      </c>
      <c r="AN381" s="368">
        <f t="shared" si="327"/>
        <v>7383.86</v>
      </c>
      <c r="AO381" s="33">
        <f t="shared" si="327"/>
        <v>24578</v>
      </c>
      <c r="AP381" s="368">
        <f t="shared" si="327"/>
        <v>5985</v>
      </c>
      <c r="AQ381" s="34">
        <f t="shared" si="327"/>
        <v>6036</v>
      </c>
      <c r="AR381" s="34">
        <f t="shared" si="327"/>
        <v>8771</v>
      </c>
      <c r="AS381" s="368">
        <f t="shared" si="327"/>
        <v>10744</v>
      </c>
      <c r="AT381" s="33">
        <f t="shared" si="327"/>
        <v>31536</v>
      </c>
      <c r="AU381" s="368">
        <f t="shared" si="327"/>
        <v>10389</v>
      </c>
      <c r="AV381" s="34">
        <f t="shared" si="327"/>
        <v>11958</v>
      </c>
      <c r="AW381" s="793">
        <f t="shared" si="327"/>
        <v>13757</v>
      </c>
      <c r="AX381" s="437">
        <f>AX228</f>
        <v>16899.050907895275</v>
      </c>
      <c r="AY381" s="438">
        <f>SUM(AU381,AV381,AW381,AX381)</f>
        <v>53003.050907895275</v>
      </c>
      <c r="AZ381" s="437">
        <f>AZ228</f>
        <v>21403.814099947969</v>
      </c>
      <c r="BA381" s="437">
        <f>BA228</f>
        <v>25225.705816595149</v>
      </c>
      <c r="BB381" s="437">
        <f>BB228</f>
        <v>30190.877792410611</v>
      </c>
      <c r="BC381" s="437">
        <f>BC228</f>
        <v>34099.283392148565</v>
      </c>
      <c r="BD381" s="438">
        <f>SUM(AZ381,BA381,BB381,BC381)</f>
        <v>110919.68110110229</v>
      </c>
      <c r="BE381" s="438">
        <f>BE228</f>
        <v>136754.23778768402</v>
      </c>
      <c r="BF381" s="438">
        <f>BF228</f>
        <v>167579.84368233572</v>
      </c>
      <c r="BG381" s="438">
        <f>BG228</f>
        <v>205461.48839313802</v>
      </c>
      <c r="BH381" s="368"/>
    </row>
    <row r="382" spans="1:60" s="548" customFormat="1" x14ac:dyDescent="0.25">
      <c r="A382" s="542" t="str">
        <f>CONCATENATE("Consensus Estimates - ",IFERROR(LEFT(A381,FIND("(",A381)-1),A381))</f>
        <v>Consensus Estimates - Net Revenue</v>
      </c>
      <c r="B382" s="543"/>
      <c r="C382" s="544"/>
      <c r="D382" s="544"/>
      <c r="E382" s="544"/>
      <c r="F382" s="544"/>
      <c r="G382" s="545"/>
      <c r="H382" s="545"/>
      <c r="I382" s="545"/>
      <c r="J382" s="545"/>
      <c r="K382" s="544"/>
      <c r="L382" s="545"/>
      <c r="M382" s="545"/>
      <c r="N382" s="545"/>
      <c r="O382" s="545"/>
      <c r="P382" s="544"/>
      <c r="Q382" s="545"/>
      <c r="R382" s="545"/>
      <c r="S382" s="545"/>
      <c r="T382" s="545"/>
      <c r="U382" s="544"/>
      <c r="V382" s="545"/>
      <c r="W382" s="546"/>
      <c r="X382" s="546"/>
      <c r="Y382" s="545"/>
      <c r="Z382" s="544"/>
      <c r="AA382" s="545"/>
      <c r="AB382" s="546"/>
      <c r="AC382" s="546"/>
      <c r="AD382" s="545"/>
      <c r="AE382" s="544"/>
      <c r="AF382" s="545"/>
      <c r="AG382" s="546"/>
      <c r="AH382" s="546"/>
      <c r="AI382" s="545"/>
      <c r="AJ382" s="544"/>
      <c r="AK382" s="545"/>
      <c r="AL382" s="546"/>
      <c r="AM382" s="546"/>
      <c r="AN382" s="545"/>
      <c r="AO382" s="544"/>
      <c r="AP382" s="545"/>
      <c r="AQ382" s="546"/>
      <c r="AR382" s="546"/>
      <c r="AS382" s="545"/>
      <c r="AT382" s="544"/>
      <c r="AU382" s="545"/>
      <c r="AV382" s="546"/>
      <c r="AW382" s="801"/>
      <c r="AX382" s="545" t="str">
        <f t="shared" ref="AX382:BD382" ca="1" si="328">IFERROR(VLOOKUP($A382,tb_ConsensusEstimate,MATCH(AX$5,OFFSET(tb_ConsensusEstimate,0,0,1,COLUMNS(tb_ConsensusEstimate)),0),FALSE),"-")</f>
        <v>N/A</v>
      </c>
      <c r="AY382" s="547" t="str">
        <f t="shared" ca="1" si="328"/>
        <v>N/A</v>
      </c>
      <c r="AZ382" s="545" t="str">
        <f t="shared" ca="1" si="328"/>
        <v>N/A</v>
      </c>
      <c r="BA382" s="545" t="str">
        <f t="shared" ca="1" si="328"/>
        <v>N/A</v>
      </c>
      <c r="BB382" s="545" t="str">
        <f t="shared" ca="1" si="328"/>
        <v>N/A</v>
      </c>
      <c r="BC382" s="545" t="str">
        <f t="shared" ca="1" si="328"/>
        <v>N/A</v>
      </c>
      <c r="BD382" s="547" t="str">
        <f t="shared" ca="1" si="328"/>
        <v>N/A</v>
      </c>
      <c r="BE382" s="547" t="str">
        <f ca="1">IFERROR(VLOOKUP(A382,tb_ConsensusEstimate,MATCH(BE5,OFFSET(tb_ConsensusEstimate,0,0,1,COLUMNS(tb_ConsensusEstimate)),0),FALSE),"-")</f>
        <v>N/A</v>
      </c>
      <c r="BF382" s="547" t="str">
        <f ca="1">IFERROR(VLOOKUP(A382,tb_ConsensusEstimate,MATCH(BF5,OFFSET(tb_ConsensusEstimate,0,0,1,COLUMNS(tb_ConsensusEstimate)),0),FALSE),"-")</f>
        <v>N/A</v>
      </c>
      <c r="BG382" s="547" t="str">
        <f ca="1">IFERROR(VLOOKUP(A382,tb_ConsensusEstimate,MATCH(BG5,OFFSET(tb_ConsensusEstimate,0,0,1,COLUMNS(tb_ConsensusEstimate)),0),FALSE),"-")</f>
        <v>N/A</v>
      </c>
      <c r="BH382" s="545"/>
    </row>
    <row r="383" spans="1:60" s="116" customFormat="1" x14ac:dyDescent="0.25">
      <c r="A383" s="530"/>
      <c r="B383" s="531"/>
      <c r="C383" s="438"/>
      <c r="D383" s="438"/>
      <c r="E383" s="438"/>
      <c r="F383" s="438"/>
      <c r="G383" s="437"/>
      <c r="H383" s="437"/>
      <c r="I383" s="437"/>
      <c r="J383" s="437"/>
      <c r="K383" s="438"/>
      <c r="L383" s="437"/>
      <c r="M383" s="437"/>
      <c r="N383" s="437"/>
      <c r="O383" s="437"/>
      <c r="P383" s="438"/>
      <c r="Q383" s="437"/>
      <c r="R383" s="437"/>
      <c r="S383" s="437"/>
      <c r="T383" s="437"/>
      <c r="U383" s="438"/>
      <c r="V383" s="437"/>
      <c r="W383" s="437"/>
      <c r="X383" s="437"/>
      <c r="Y383" s="437"/>
      <c r="Z383" s="438"/>
      <c r="AA383" s="437"/>
      <c r="AB383" s="437"/>
      <c r="AC383" s="437"/>
      <c r="AD383" s="437"/>
      <c r="AE383" s="438"/>
      <c r="AF383" s="437"/>
      <c r="AG383" s="437"/>
      <c r="AH383" s="437"/>
      <c r="AI383" s="437"/>
      <c r="AJ383" s="438"/>
      <c r="AK383" s="437"/>
      <c r="AL383" s="437"/>
      <c r="AM383" s="437"/>
      <c r="AN383" s="437"/>
      <c r="AO383" s="438"/>
      <c r="AP383" s="437"/>
      <c r="AQ383" s="437"/>
      <c r="AR383" s="437"/>
      <c r="AS383" s="437"/>
      <c r="AT383" s="438"/>
      <c r="AU383" s="437"/>
      <c r="AV383" s="437"/>
      <c r="AW383" s="725"/>
      <c r="AX383" s="437"/>
      <c r="AY383" s="438"/>
      <c r="AZ383" s="437"/>
      <c r="BA383" s="437"/>
      <c r="BB383" s="437"/>
      <c r="BC383" s="437"/>
      <c r="BD383" s="438"/>
      <c r="BE383" s="438"/>
      <c r="BF383" s="438"/>
      <c r="BG383" s="438"/>
      <c r="BH383" s="368"/>
    </row>
    <row r="384" spans="1:60" s="356" customFormat="1" x14ac:dyDescent="0.25">
      <c r="A384" s="533" t="s">
        <v>117</v>
      </c>
      <c r="B384" s="527"/>
      <c r="C384" s="261">
        <f t="shared" ref="C384:AW384" si="329">C342</f>
        <v>102.408</v>
      </c>
      <c r="D384" s="261">
        <f t="shared" si="329"/>
        <v>86.013000000000005</v>
      </c>
      <c r="E384" s="261">
        <f t="shared" si="329"/>
        <v>142.64699999999999</v>
      </c>
      <c r="F384" s="261">
        <f t="shared" si="329"/>
        <v>383.18900000000002</v>
      </c>
      <c r="G384" s="262">
        <f t="shared" si="329"/>
        <v>465.47199999999998</v>
      </c>
      <c r="H384" s="262">
        <f t="shared" si="329"/>
        <v>304.65600000000001</v>
      </c>
      <c r="I384" s="262">
        <f t="shared" si="329"/>
        <v>328.47800000000001</v>
      </c>
      <c r="J384" s="262">
        <f t="shared" si="329"/>
        <v>458.62799999999999</v>
      </c>
      <c r="K384" s="261">
        <f t="shared" si="329"/>
        <v>1557.2339999999999</v>
      </c>
      <c r="L384" s="262">
        <f t="shared" si="329"/>
        <v>465.41400000000004</v>
      </c>
      <c r="M384" s="262">
        <f t="shared" si="329"/>
        <v>556.35400000000004</v>
      </c>
      <c r="N384" s="262">
        <f t="shared" si="329"/>
        <v>599.95299999999997</v>
      </c>
      <c r="O384" s="262">
        <f t="shared" si="329"/>
        <v>694.96400000000006</v>
      </c>
      <c r="P384" s="261">
        <f t="shared" si="329"/>
        <v>2316.6849999999999</v>
      </c>
      <c r="Q384" s="262">
        <f t="shared" si="329"/>
        <v>679.80700000000002</v>
      </c>
      <c r="R384" s="262">
        <f t="shared" si="329"/>
        <v>741.60599999999999</v>
      </c>
      <c r="S384" s="262">
        <f t="shared" si="329"/>
        <v>705.29300000000001</v>
      </c>
      <c r="T384" s="262">
        <f t="shared" si="329"/>
        <v>995.81600000000003</v>
      </c>
      <c r="U384" s="261">
        <f t="shared" si="329"/>
        <v>3122.5219999999999</v>
      </c>
      <c r="V384" s="262">
        <f t="shared" si="329"/>
        <v>894.58</v>
      </c>
      <c r="W384" s="263">
        <f t="shared" si="329"/>
        <v>995.24099999999999</v>
      </c>
      <c r="X384" s="263">
        <f t="shared" si="329"/>
        <v>1661.701</v>
      </c>
      <c r="Y384" s="262">
        <f t="shared" si="329"/>
        <v>1849.3530000000001</v>
      </c>
      <c r="Z384" s="261">
        <f t="shared" si="329"/>
        <v>5400.875</v>
      </c>
      <c r="AA384" s="262">
        <f t="shared" si="329"/>
        <v>2028.3239999999998</v>
      </c>
      <c r="AB384" s="263">
        <f t="shared" si="329"/>
        <v>2122.942</v>
      </c>
      <c r="AC384" s="263">
        <f t="shared" si="329"/>
        <v>2535.5349999999999</v>
      </c>
      <c r="AD384" s="262">
        <f t="shared" si="329"/>
        <v>2849.4630000000002</v>
      </c>
      <c r="AE384" s="261">
        <f t="shared" si="329"/>
        <v>9536.2639999999992</v>
      </c>
      <c r="AF384" s="262">
        <f t="shared" si="329"/>
        <v>2952.2249999999999</v>
      </c>
      <c r="AG384" s="263">
        <f t="shared" si="329"/>
        <v>3383.3010000000004</v>
      </c>
      <c r="AH384" s="263">
        <f t="shared" si="329"/>
        <v>5300.7480000000005</v>
      </c>
      <c r="AI384" s="262">
        <f t="shared" si="329"/>
        <v>5782.973</v>
      </c>
      <c r="AJ384" s="261">
        <f t="shared" si="329"/>
        <v>17419.246999999999</v>
      </c>
      <c r="AK384" s="262">
        <f t="shared" si="329"/>
        <v>3975.721</v>
      </c>
      <c r="AL384" s="263">
        <f t="shared" si="329"/>
        <v>5428.63</v>
      </c>
      <c r="AM384" s="263">
        <f t="shared" si="329"/>
        <v>5112</v>
      </c>
      <c r="AN384" s="262">
        <f t="shared" si="329"/>
        <v>5992.6490000000003</v>
      </c>
      <c r="AO384" s="261">
        <f t="shared" si="329"/>
        <v>20509</v>
      </c>
      <c r="AP384" s="262">
        <f t="shared" si="329"/>
        <v>4751</v>
      </c>
      <c r="AQ384" s="263">
        <f t="shared" si="329"/>
        <v>4769</v>
      </c>
      <c r="AR384" s="263">
        <f t="shared" si="329"/>
        <v>6708</v>
      </c>
      <c r="AS384" s="262">
        <f t="shared" si="329"/>
        <v>8678</v>
      </c>
      <c r="AT384" s="261">
        <f t="shared" si="329"/>
        <v>24906</v>
      </c>
      <c r="AU384" s="262">
        <f t="shared" si="329"/>
        <v>8174</v>
      </c>
      <c r="AV384" s="263">
        <f t="shared" si="329"/>
        <v>9074</v>
      </c>
      <c r="AW384" s="794">
        <f t="shared" si="329"/>
        <v>10097</v>
      </c>
      <c r="AX384" s="459">
        <f>AX381-AX385</f>
        <v>12239.625780955386</v>
      </c>
      <c r="AY384" s="479">
        <f>SUM(AU384,AV384,AW384,AX384)</f>
        <v>39584.625780955386</v>
      </c>
      <c r="AZ384" s="459">
        <f t="shared" ref="AZ384:BC384" si="330">AZ381-AZ385</f>
        <v>15444.940949923282</v>
      </c>
      <c r="BA384" s="459">
        <f t="shared" si="330"/>
        <v>18315.097051475943</v>
      </c>
      <c r="BB384" s="459">
        <f t="shared" si="330"/>
        <v>21679.145808670357</v>
      </c>
      <c r="BC384" s="459">
        <f t="shared" si="330"/>
        <v>24753.839984157654</v>
      </c>
      <c r="BD384" s="479">
        <f>SUM(AZ384,BA384,BB384,BC384)</f>
        <v>80193.023794227236</v>
      </c>
      <c r="BE384" s="479">
        <f t="shared" ref="BE384:BG384" si="331">BE381-BE385</f>
        <v>98965.802949378645</v>
      </c>
      <c r="BF384" s="479">
        <f t="shared" si="331"/>
        <v>121457.34870903401</v>
      </c>
      <c r="BG384" s="479">
        <f t="shared" si="331"/>
        <v>149342.44244734797</v>
      </c>
      <c r="BH384" s="361"/>
    </row>
    <row r="385" spans="1:60" s="116" customFormat="1" x14ac:dyDescent="0.25">
      <c r="A385" s="86" t="s">
        <v>118</v>
      </c>
      <c r="B385" s="529"/>
      <c r="C385" s="29">
        <f t="shared" ref="C385:AH385" si="332">C381-C384</f>
        <v>9.5349999999999966</v>
      </c>
      <c r="D385" s="29">
        <f t="shared" si="332"/>
        <v>30.730999999999995</v>
      </c>
      <c r="E385" s="29">
        <f t="shared" si="332"/>
        <v>61.595000000000027</v>
      </c>
      <c r="F385" s="29">
        <f t="shared" si="332"/>
        <v>30.067000000000007</v>
      </c>
      <c r="G385" s="30">
        <f t="shared" si="332"/>
        <v>96.32000000000005</v>
      </c>
      <c r="H385" s="30">
        <f t="shared" si="332"/>
        <v>100.483</v>
      </c>
      <c r="I385" s="30">
        <f t="shared" si="332"/>
        <v>102.86799999999999</v>
      </c>
      <c r="J385" s="30">
        <f t="shared" si="332"/>
        <v>156.59100000000007</v>
      </c>
      <c r="K385" s="29">
        <f t="shared" si="332"/>
        <v>456.26200000000017</v>
      </c>
      <c r="L385" s="30">
        <f t="shared" si="332"/>
        <v>155.12799999999999</v>
      </c>
      <c r="M385" s="30">
        <f t="shared" si="332"/>
        <v>212.99499999999989</v>
      </c>
      <c r="N385" s="30">
        <f t="shared" si="332"/>
        <v>251.851</v>
      </c>
      <c r="O385" s="30">
        <f t="shared" si="332"/>
        <v>261.69699999999989</v>
      </c>
      <c r="P385" s="29">
        <f t="shared" si="332"/>
        <v>881.67100000000028</v>
      </c>
      <c r="Q385" s="30">
        <f t="shared" si="332"/>
        <v>260.07300000000009</v>
      </c>
      <c r="R385" s="30">
        <f t="shared" si="332"/>
        <v>213.37</v>
      </c>
      <c r="S385" s="30">
        <f t="shared" si="332"/>
        <v>231.49599999999998</v>
      </c>
      <c r="T385" s="30">
        <f t="shared" si="332"/>
        <v>218.56400000000008</v>
      </c>
      <c r="U385" s="29">
        <f t="shared" si="332"/>
        <v>923.50300000000016</v>
      </c>
      <c r="V385" s="30">
        <f t="shared" si="332"/>
        <v>252.46799999999996</v>
      </c>
      <c r="W385" s="31">
        <f t="shared" si="332"/>
        <v>274.77600000000007</v>
      </c>
      <c r="X385" s="31">
        <f t="shared" si="332"/>
        <v>636.73499999999967</v>
      </c>
      <c r="Y385" s="30">
        <f t="shared" si="332"/>
        <v>435.27799999999979</v>
      </c>
      <c r="Z385" s="29">
        <f t="shared" si="332"/>
        <v>1599.2569999999996</v>
      </c>
      <c r="AA385" s="30">
        <f t="shared" si="332"/>
        <v>667.94600000000014</v>
      </c>
      <c r="AB385" s="31">
        <f t="shared" si="332"/>
        <v>666.61499999999978</v>
      </c>
      <c r="AC385" s="31">
        <f t="shared" si="332"/>
        <v>449.14000000000033</v>
      </c>
      <c r="AD385" s="30">
        <f t="shared" si="332"/>
        <v>438.78599999999915</v>
      </c>
      <c r="AE385" s="29">
        <f t="shared" si="332"/>
        <v>2222.487000000001</v>
      </c>
      <c r="AF385" s="30">
        <f t="shared" si="332"/>
        <v>456.52599999999984</v>
      </c>
      <c r="AG385" s="31">
        <f t="shared" si="332"/>
        <v>618.92999999999893</v>
      </c>
      <c r="AH385" s="31">
        <f t="shared" si="332"/>
        <v>1523.665</v>
      </c>
      <c r="AI385" s="30">
        <f t="shared" ref="AI385:AY385" si="333">AI381-AI384</f>
        <v>1442.9000000000005</v>
      </c>
      <c r="AJ385" s="29">
        <f t="shared" si="333"/>
        <v>4042.0210000000006</v>
      </c>
      <c r="AK385" s="30">
        <f t="shared" si="333"/>
        <v>565.74299999999994</v>
      </c>
      <c r="AL385" s="31">
        <f t="shared" si="333"/>
        <v>921.04599999999937</v>
      </c>
      <c r="AM385" s="31">
        <f t="shared" si="333"/>
        <v>1191</v>
      </c>
      <c r="AN385" s="30">
        <f t="shared" si="333"/>
        <v>1391.2109999999993</v>
      </c>
      <c r="AO385" s="29">
        <f t="shared" si="333"/>
        <v>4069</v>
      </c>
      <c r="AP385" s="30">
        <f t="shared" si="333"/>
        <v>1234</v>
      </c>
      <c r="AQ385" s="31">
        <f t="shared" si="333"/>
        <v>1267</v>
      </c>
      <c r="AR385" s="31">
        <f>AR381-AR384</f>
        <v>2063</v>
      </c>
      <c r="AS385" s="30">
        <f>AS381-AS384</f>
        <v>2066</v>
      </c>
      <c r="AT385" s="29">
        <f>AT381-AT384</f>
        <v>6630</v>
      </c>
      <c r="AU385" s="30">
        <f t="shared" ref="AU385" si="334">AU381-AU384</f>
        <v>2215</v>
      </c>
      <c r="AV385" s="31">
        <f>AV381-AV384</f>
        <v>2884</v>
      </c>
      <c r="AW385" s="795">
        <f>AW381-AW384</f>
        <v>3660</v>
      </c>
      <c r="AX385" s="44">
        <f>AX257</f>
        <v>4659.4251269398883</v>
      </c>
      <c r="AY385" s="45">
        <f t="shared" si="333"/>
        <v>13418.425126939888</v>
      </c>
      <c r="AZ385" s="44">
        <f>AZ257</f>
        <v>5958.8731500246859</v>
      </c>
      <c r="BA385" s="44">
        <f>BA257</f>
        <v>6910.6087651192056</v>
      </c>
      <c r="BB385" s="44">
        <f>BB257</f>
        <v>8511.7319837402538</v>
      </c>
      <c r="BC385" s="44">
        <f>BC257</f>
        <v>9345.4434079909133</v>
      </c>
      <c r="BD385" s="45">
        <f t="shared" ref="BD385" si="335">BD381-BD384</f>
        <v>30726.657306875059</v>
      </c>
      <c r="BE385" s="45">
        <f>BE257</f>
        <v>37788.434838305366</v>
      </c>
      <c r="BF385" s="45">
        <f>BF257</f>
        <v>46122.49497330172</v>
      </c>
      <c r="BG385" s="45">
        <f>BG257</f>
        <v>56119.045945790051</v>
      </c>
      <c r="BH385" s="368"/>
    </row>
    <row r="386" spans="1:60" s="116" customFormat="1" x14ac:dyDescent="0.25">
      <c r="A386" s="530"/>
      <c r="B386" s="531"/>
      <c r="C386" s="438"/>
      <c r="D386" s="438"/>
      <c r="E386" s="438"/>
      <c r="F386" s="438"/>
      <c r="G386" s="437"/>
      <c r="H386" s="437"/>
      <c r="I386" s="437"/>
      <c r="J386" s="437"/>
      <c r="K386" s="438"/>
      <c r="L386" s="437"/>
      <c r="M386" s="437"/>
      <c r="N386" s="437"/>
      <c r="O386" s="437"/>
      <c r="P386" s="438"/>
      <c r="Q386" s="437"/>
      <c r="R386" s="437"/>
      <c r="S386" s="437"/>
      <c r="T386" s="437"/>
      <c r="U386" s="438"/>
      <c r="V386" s="437"/>
      <c r="W386" s="437"/>
      <c r="X386" s="437"/>
      <c r="Y386" s="437"/>
      <c r="Z386" s="438"/>
      <c r="AA386" s="437"/>
      <c r="AB386" s="437"/>
      <c r="AC386" s="437"/>
      <c r="AD386" s="437"/>
      <c r="AE386" s="438"/>
      <c r="AF386" s="437"/>
      <c r="AG386" s="437"/>
      <c r="AH386" s="437"/>
      <c r="AI386" s="437"/>
      <c r="AJ386" s="438"/>
      <c r="AK386" s="437"/>
      <c r="AL386" s="437"/>
      <c r="AM386" s="437"/>
      <c r="AN386" s="437"/>
      <c r="AO386" s="438"/>
      <c r="AP386" s="437"/>
      <c r="AQ386" s="437"/>
      <c r="AR386" s="437"/>
      <c r="AS386" s="437"/>
      <c r="AT386" s="438"/>
      <c r="AU386" s="437"/>
      <c r="AV386" s="437"/>
      <c r="AW386" s="725"/>
      <c r="AX386" s="437"/>
      <c r="AY386" s="438"/>
      <c r="AZ386" s="437"/>
      <c r="BA386" s="437"/>
      <c r="BB386" s="437"/>
      <c r="BC386" s="437"/>
      <c r="BD386" s="438"/>
      <c r="BE386" s="438"/>
      <c r="BF386" s="438"/>
      <c r="BG386" s="438"/>
      <c r="BH386" s="368"/>
    </row>
    <row r="387" spans="1:60" s="356" customFormat="1" x14ac:dyDescent="0.25">
      <c r="A387" s="360" t="s">
        <v>119</v>
      </c>
      <c r="B387" s="450"/>
      <c r="C387" s="35">
        <f t="shared" ref="C387:AW387" si="336">C345</f>
        <v>42.15</v>
      </c>
      <c r="D387" s="35">
        <f t="shared" si="336"/>
        <v>84.572999999999993</v>
      </c>
      <c r="E387" s="35">
        <f t="shared" si="336"/>
        <v>104.102</v>
      </c>
      <c r="F387" s="35">
        <f t="shared" si="336"/>
        <v>150.37200000000001</v>
      </c>
      <c r="G387" s="361">
        <f t="shared" si="336"/>
        <v>47.045000000000002</v>
      </c>
      <c r="H387" s="361">
        <f t="shared" si="336"/>
        <v>59.963000000000001</v>
      </c>
      <c r="I387" s="361">
        <f t="shared" si="336"/>
        <v>77.070999999999998</v>
      </c>
      <c r="J387" s="361">
        <f t="shared" si="336"/>
        <v>101.49000000000002</v>
      </c>
      <c r="K387" s="35">
        <f t="shared" si="336"/>
        <v>285.56900000000002</v>
      </c>
      <c r="L387" s="361">
        <f t="shared" si="336"/>
        <v>117.551</v>
      </c>
      <c r="M387" s="361">
        <f t="shared" si="336"/>
        <v>134.03100000000001</v>
      </c>
      <c r="N387" s="361">
        <f t="shared" si="336"/>
        <v>155.107</v>
      </c>
      <c r="O387" s="361">
        <f t="shared" si="336"/>
        <v>196.97</v>
      </c>
      <c r="P387" s="35">
        <f t="shared" si="336"/>
        <v>603.66</v>
      </c>
      <c r="Q387" s="361">
        <f t="shared" si="336"/>
        <v>195.36500000000001</v>
      </c>
      <c r="R387" s="361">
        <f t="shared" si="336"/>
        <v>201.846</v>
      </c>
      <c r="S387" s="361">
        <f t="shared" si="336"/>
        <v>236.36699999999999</v>
      </c>
      <c r="T387" s="361">
        <f t="shared" si="336"/>
        <v>288.654</v>
      </c>
      <c r="U387" s="35">
        <f t="shared" si="336"/>
        <v>922.23199999999997</v>
      </c>
      <c r="V387" s="361">
        <f t="shared" si="336"/>
        <v>318.20999999999998</v>
      </c>
      <c r="W387" s="36">
        <f t="shared" si="336"/>
        <v>321.15199999999999</v>
      </c>
      <c r="X387" s="36">
        <f t="shared" si="336"/>
        <v>336.81099999999998</v>
      </c>
      <c r="Y387" s="361">
        <f t="shared" si="336"/>
        <v>456.01600000000002</v>
      </c>
      <c r="Z387" s="35">
        <f t="shared" si="336"/>
        <v>1432.1890000000001</v>
      </c>
      <c r="AA387" s="361">
        <f t="shared" si="336"/>
        <v>603.45500000000004</v>
      </c>
      <c r="AB387" s="36">
        <f t="shared" si="336"/>
        <v>537.75699999999995</v>
      </c>
      <c r="AC387" s="36">
        <f t="shared" si="336"/>
        <v>652.99800000000005</v>
      </c>
      <c r="AD387" s="361">
        <f t="shared" si="336"/>
        <v>682.29</v>
      </c>
      <c r="AE387" s="35">
        <f t="shared" si="336"/>
        <v>2476.5</v>
      </c>
      <c r="AF387" s="361">
        <f t="shared" si="336"/>
        <v>686.404</v>
      </c>
      <c r="AG387" s="36">
        <f t="shared" si="336"/>
        <v>750.75900000000001</v>
      </c>
      <c r="AH387" s="36">
        <f t="shared" si="336"/>
        <v>729.87599999999998</v>
      </c>
      <c r="AI387" s="361">
        <f t="shared" si="336"/>
        <v>667.45200000000023</v>
      </c>
      <c r="AJ387" s="35">
        <f t="shared" si="336"/>
        <v>2834.491</v>
      </c>
      <c r="AK387" s="361">
        <f t="shared" si="336"/>
        <v>703.92899999999997</v>
      </c>
      <c r="AL387" s="36">
        <f t="shared" si="336"/>
        <v>647.26099999999997</v>
      </c>
      <c r="AM387" s="36">
        <f t="shared" si="336"/>
        <v>596</v>
      </c>
      <c r="AN387" s="361">
        <f t="shared" si="336"/>
        <v>698.81</v>
      </c>
      <c r="AO387" s="35">
        <f t="shared" si="336"/>
        <v>2646</v>
      </c>
      <c r="AP387" s="361">
        <f t="shared" si="336"/>
        <v>627</v>
      </c>
      <c r="AQ387" s="36">
        <f t="shared" si="336"/>
        <v>661</v>
      </c>
      <c r="AR387" s="36">
        <f t="shared" si="336"/>
        <v>888</v>
      </c>
      <c r="AS387" s="361">
        <f t="shared" si="336"/>
        <v>969</v>
      </c>
      <c r="AT387" s="35">
        <f t="shared" si="336"/>
        <v>3145</v>
      </c>
      <c r="AU387" s="361">
        <f t="shared" si="336"/>
        <v>1056</v>
      </c>
      <c r="AV387" s="36">
        <f t="shared" si="336"/>
        <v>973</v>
      </c>
      <c r="AW387" s="792">
        <f t="shared" si="336"/>
        <v>994</v>
      </c>
      <c r="AX387" s="439">
        <f>AX263</f>
        <v>1439.6280077232302</v>
      </c>
      <c r="AY387" s="440">
        <f>SUM(AU387,AV387,AW387,AX387)</f>
        <v>4462.6280077232304</v>
      </c>
      <c r="AZ387" s="439">
        <f>AZ263</f>
        <v>1747.5352002943366</v>
      </c>
      <c r="BA387" s="439">
        <f>BA263</f>
        <v>2103.0197139870188</v>
      </c>
      <c r="BB387" s="439">
        <f>BB263</f>
        <v>2483.3242410088005</v>
      </c>
      <c r="BC387" s="439">
        <f>BC263</f>
        <v>2973.1122025964469</v>
      </c>
      <c r="BD387" s="440">
        <f>SUM(AZ387,BA387,BB387,BC387)</f>
        <v>9306.9913578866035</v>
      </c>
      <c r="BE387" s="440">
        <f>BE263</f>
        <v>11337.9497697385</v>
      </c>
      <c r="BF387" s="440">
        <f>BF263</f>
        <v>13726.043350947948</v>
      </c>
      <c r="BG387" s="440">
        <f>BG263</f>
        <v>16623.372067391891</v>
      </c>
      <c r="BH387" s="361"/>
    </row>
    <row r="388" spans="1:60" s="356" customFormat="1" x14ac:dyDescent="0.25">
      <c r="A388" s="360" t="s">
        <v>120</v>
      </c>
      <c r="B388" s="450"/>
      <c r="C388" s="35">
        <f t="shared" ref="C388:AW388" si="337">C344</f>
        <v>19.282</v>
      </c>
      <c r="D388" s="35">
        <f t="shared" si="337"/>
        <v>92.995999999999995</v>
      </c>
      <c r="E388" s="35">
        <f t="shared" si="337"/>
        <v>208.98099999999999</v>
      </c>
      <c r="F388" s="35">
        <f t="shared" si="337"/>
        <v>273.97800000000001</v>
      </c>
      <c r="G388" s="361">
        <f t="shared" si="337"/>
        <v>54.859000000000002</v>
      </c>
      <c r="H388" s="361">
        <f t="shared" si="337"/>
        <v>52.311999999999998</v>
      </c>
      <c r="I388" s="361">
        <f t="shared" si="337"/>
        <v>56.350999999999999</v>
      </c>
      <c r="J388" s="361">
        <f t="shared" si="337"/>
        <v>68.454000000000008</v>
      </c>
      <c r="K388" s="35">
        <f t="shared" si="337"/>
        <v>231.976</v>
      </c>
      <c r="L388" s="361">
        <f t="shared" si="337"/>
        <v>81.543999999999997</v>
      </c>
      <c r="M388" s="361">
        <f t="shared" si="337"/>
        <v>107.717</v>
      </c>
      <c r="N388" s="361">
        <f t="shared" si="337"/>
        <v>135.87299999999999</v>
      </c>
      <c r="O388" s="361">
        <f t="shared" si="337"/>
        <v>139.565</v>
      </c>
      <c r="P388" s="35">
        <f t="shared" si="337"/>
        <v>464.7</v>
      </c>
      <c r="Q388" s="361">
        <f t="shared" si="337"/>
        <v>167.154</v>
      </c>
      <c r="R388" s="361">
        <f t="shared" si="337"/>
        <v>181.71199999999999</v>
      </c>
      <c r="S388" s="361">
        <f t="shared" si="337"/>
        <v>178.791</v>
      </c>
      <c r="T388" s="361">
        <f t="shared" si="337"/>
        <v>190.24299999999999</v>
      </c>
      <c r="U388" s="35">
        <f t="shared" si="337"/>
        <v>717.9</v>
      </c>
      <c r="V388" s="361">
        <f t="shared" si="337"/>
        <v>182.482</v>
      </c>
      <c r="W388" s="36">
        <f t="shared" si="337"/>
        <v>191.66399999999999</v>
      </c>
      <c r="X388" s="36">
        <f t="shared" si="337"/>
        <v>214.30199999999999</v>
      </c>
      <c r="Y388" s="361">
        <f t="shared" si="337"/>
        <v>245.96</v>
      </c>
      <c r="Z388" s="35">
        <f t="shared" si="337"/>
        <v>834.40800000000002</v>
      </c>
      <c r="AA388" s="361">
        <f t="shared" si="337"/>
        <v>322.04000000000002</v>
      </c>
      <c r="AB388" s="36">
        <f t="shared" si="337"/>
        <v>369.774</v>
      </c>
      <c r="AC388" s="36">
        <f t="shared" si="337"/>
        <v>331.62200000000001</v>
      </c>
      <c r="AD388" s="361">
        <f t="shared" si="337"/>
        <v>354.637</v>
      </c>
      <c r="AE388" s="35">
        <f t="shared" si="337"/>
        <v>1378.0730000000001</v>
      </c>
      <c r="AF388" s="361">
        <f t="shared" si="337"/>
        <v>367.096</v>
      </c>
      <c r="AG388" s="36">
        <f t="shared" si="337"/>
        <v>386.12900000000002</v>
      </c>
      <c r="AH388" s="36">
        <f t="shared" si="337"/>
        <v>350.84800000000001</v>
      </c>
      <c r="AI388" s="361">
        <f t="shared" si="337"/>
        <v>356.2969999999998</v>
      </c>
      <c r="AJ388" s="35">
        <f t="shared" si="337"/>
        <v>1460.37</v>
      </c>
      <c r="AK388" s="361">
        <f t="shared" si="337"/>
        <v>340.17399999999998</v>
      </c>
      <c r="AL388" s="36">
        <f t="shared" si="337"/>
        <v>323.89800000000002</v>
      </c>
      <c r="AM388" s="36">
        <f t="shared" si="337"/>
        <v>334</v>
      </c>
      <c r="AN388" s="361">
        <f t="shared" si="337"/>
        <v>344.928</v>
      </c>
      <c r="AO388" s="35">
        <f t="shared" si="337"/>
        <v>1343</v>
      </c>
      <c r="AP388" s="361">
        <f t="shared" si="337"/>
        <v>324</v>
      </c>
      <c r="AQ388" s="36">
        <f t="shared" si="337"/>
        <v>279</v>
      </c>
      <c r="AR388" s="36">
        <f t="shared" si="337"/>
        <v>366</v>
      </c>
      <c r="AS388" s="361">
        <f t="shared" si="337"/>
        <v>522</v>
      </c>
      <c r="AT388" s="35">
        <f t="shared" si="337"/>
        <v>1491</v>
      </c>
      <c r="AU388" s="361">
        <f t="shared" si="337"/>
        <v>666</v>
      </c>
      <c r="AV388" s="36">
        <f t="shared" si="337"/>
        <v>576</v>
      </c>
      <c r="AW388" s="792">
        <f t="shared" si="337"/>
        <v>611</v>
      </c>
      <c r="AX388" s="439">
        <f>AX268</f>
        <v>905.53998405560935</v>
      </c>
      <c r="AY388" s="440">
        <f>SUM(AU388,AV388,AW388,AX388)</f>
        <v>2758.5399840556092</v>
      </c>
      <c r="AZ388" s="439">
        <f>AZ268</f>
        <v>1051.061393810757</v>
      </c>
      <c r="BA388" s="439">
        <f>BA268</f>
        <v>1189.8609767690216</v>
      </c>
      <c r="BB388" s="439">
        <f>BB268</f>
        <v>1280.5084334944027</v>
      </c>
      <c r="BC388" s="439">
        <f>BC268</f>
        <v>1724.9210100737191</v>
      </c>
      <c r="BD388" s="440">
        <f>SUM(AZ388,BA388,BB388,BC388)</f>
        <v>5246.3518141478999</v>
      </c>
      <c r="BE388" s="440">
        <f>BE268</f>
        <v>6331.5373799629133</v>
      </c>
      <c r="BF388" s="440">
        <f>BF268</f>
        <v>7591.1416523955486</v>
      </c>
      <c r="BG388" s="440">
        <f>BG268</f>
        <v>9101.6677476316727</v>
      </c>
      <c r="BH388" s="361"/>
    </row>
    <row r="389" spans="1:60" s="356" customFormat="1" x14ac:dyDescent="0.25">
      <c r="A389" s="466" t="s">
        <v>749</v>
      </c>
      <c r="B389" s="527"/>
      <c r="C389" s="479">
        <f t="shared" ref="C389:AW389" si="338">+C346</f>
        <v>0</v>
      </c>
      <c r="D389" s="479">
        <f t="shared" si="338"/>
        <v>0</v>
      </c>
      <c r="E389" s="479">
        <f t="shared" si="338"/>
        <v>0</v>
      </c>
      <c r="F389" s="479">
        <f t="shared" si="338"/>
        <v>0</v>
      </c>
      <c r="G389" s="459">
        <f t="shared" si="338"/>
        <v>0</v>
      </c>
      <c r="H389" s="459">
        <f t="shared" si="338"/>
        <v>0</v>
      </c>
      <c r="I389" s="459">
        <f t="shared" si="338"/>
        <v>0</v>
      </c>
      <c r="J389" s="459">
        <f t="shared" si="338"/>
        <v>0</v>
      </c>
      <c r="K389" s="479">
        <f t="shared" si="338"/>
        <v>0</v>
      </c>
      <c r="L389" s="459">
        <f t="shared" si="338"/>
        <v>0</v>
      </c>
      <c r="M389" s="459">
        <f t="shared" si="338"/>
        <v>0</v>
      </c>
      <c r="N389" s="459">
        <f t="shared" si="338"/>
        <v>0</v>
      </c>
      <c r="O389" s="459">
        <f t="shared" si="338"/>
        <v>0</v>
      </c>
      <c r="P389" s="479">
        <f t="shared" si="338"/>
        <v>0</v>
      </c>
      <c r="Q389" s="459">
        <f t="shared" si="338"/>
        <v>0</v>
      </c>
      <c r="R389" s="459">
        <f t="shared" si="338"/>
        <v>0</v>
      </c>
      <c r="S389" s="459">
        <f t="shared" si="338"/>
        <v>0</v>
      </c>
      <c r="T389" s="459">
        <f t="shared" si="338"/>
        <v>0</v>
      </c>
      <c r="U389" s="479">
        <f t="shared" si="338"/>
        <v>0</v>
      </c>
      <c r="V389" s="459">
        <f t="shared" si="338"/>
        <v>0</v>
      </c>
      <c r="W389" s="459">
        <f t="shared" si="338"/>
        <v>0</v>
      </c>
      <c r="X389" s="459">
        <f t="shared" si="338"/>
        <v>0</v>
      </c>
      <c r="Y389" s="459">
        <f t="shared" si="338"/>
        <v>0</v>
      </c>
      <c r="Z389" s="479">
        <f t="shared" si="338"/>
        <v>0</v>
      </c>
      <c r="AA389" s="459">
        <f t="shared" si="338"/>
        <v>0</v>
      </c>
      <c r="AB389" s="459">
        <f t="shared" si="338"/>
        <v>0</v>
      </c>
      <c r="AC389" s="459">
        <f t="shared" si="338"/>
        <v>0</v>
      </c>
      <c r="AD389" s="459">
        <f t="shared" si="338"/>
        <v>0</v>
      </c>
      <c r="AE389" s="479">
        <f t="shared" si="338"/>
        <v>0</v>
      </c>
      <c r="AF389" s="459">
        <f t="shared" si="338"/>
        <v>0</v>
      </c>
      <c r="AG389" s="459">
        <f t="shared" si="338"/>
        <v>103.434</v>
      </c>
      <c r="AH389" s="459">
        <f t="shared" si="338"/>
        <v>26.184000000000001</v>
      </c>
      <c r="AI389" s="459">
        <f t="shared" si="338"/>
        <v>5.6150000000000091</v>
      </c>
      <c r="AJ389" s="479">
        <f t="shared" si="338"/>
        <v>135.233</v>
      </c>
      <c r="AK389" s="459">
        <f t="shared" si="338"/>
        <v>43.470999999999997</v>
      </c>
      <c r="AL389" s="459">
        <f t="shared" si="338"/>
        <v>117.345</v>
      </c>
      <c r="AM389" s="459">
        <f t="shared" si="338"/>
        <v>0</v>
      </c>
      <c r="AN389" s="459">
        <f t="shared" si="338"/>
        <v>-11.816000000000003</v>
      </c>
      <c r="AO389" s="479">
        <f t="shared" si="338"/>
        <v>149</v>
      </c>
      <c r="AP389" s="459">
        <f t="shared" si="338"/>
        <v>0</v>
      </c>
      <c r="AQ389" s="459">
        <f t="shared" si="338"/>
        <v>0</v>
      </c>
      <c r="AR389" s="459">
        <f t="shared" si="338"/>
        <v>0</v>
      </c>
      <c r="AS389" s="459">
        <f t="shared" si="338"/>
        <v>0</v>
      </c>
      <c r="AT389" s="479">
        <f t="shared" si="338"/>
        <v>0</v>
      </c>
      <c r="AU389" s="459">
        <f t="shared" si="338"/>
        <v>-101</v>
      </c>
      <c r="AV389" s="459">
        <f t="shared" si="338"/>
        <v>23</v>
      </c>
      <c r="AW389" s="723">
        <f t="shared" si="338"/>
        <v>51</v>
      </c>
      <c r="AX389" s="262">
        <f>AX273</f>
        <v>0</v>
      </c>
      <c r="AY389" s="261">
        <f>SUM(AU389,AV389,AW389,AX389)</f>
        <v>-27</v>
      </c>
      <c r="AZ389" s="262">
        <f t="shared" ref="AZ389:BC389" si="339">AZ273</f>
        <v>0</v>
      </c>
      <c r="BA389" s="262">
        <f t="shared" si="339"/>
        <v>0</v>
      </c>
      <c r="BB389" s="262">
        <f t="shared" si="339"/>
        <v>0</v>
      </c>
      <c r="BC389" s="262">
        <f t="shared" si="339"/>
        <v>0</v>
      </c>
      <c r="BD389" s="261">
        <f>SUM(AZ389,BA389,BB389,BC389)</f>
        <v>0</v>
      </c>
      <c r="BE389" s="261">
        <f t="shared" ref="BE389:BG389" si="340">BE273</f>
        <v>0</v>
      </c>
      <c r="BF389" s="261">
        <f t="shared" si="340"/>
        <v>0</v>
      </c>
      <c r="BG389" s="261">
        <f t="shared" si="340"/>
        <v>0</v>
      </c>
      <c r="BH389" s="361"/>
    </row>
    <row r="390" spans="1:60" s="116" customFormat="1" x14ac:dyDescent="0.25">
      <c r="A390" s="86" t="s">
        <v>124</v>
      </c>
      <c r="B390" s="529"/>
      <c r="C390" s="29">
        <f t="shared" ref="C390:AH390" si="341">C385-SUM(C387:C389)</f>
        <v>-51.897000000000006</v>
      </c>
      <c r="D390" s="29">
        <f t="shared" si="341"/>
        <v>-146.83799999999999</v>
      </c>
      <c r="E390" s="29">
        <f t="shared" si="341"/>
        <v>-251.48799999999994</v>
      </c>
      <c r="F390" s="29">
        <f t="shared" si="341"/>
        <v>-394.28300000000002</v>
      </c>
      <c r="G390" s="30">
        <f t="shared" si="341"/>
        <v>-5.5839999999999463</v>
      </c>
      <c r="H390" s="30">
        <f t="shared" si="341"/>
        <v>-11.792000000000002</v>
      </c>
      <c r="I390" s="30">
        <f t="shared" si="341"/>
        <v>-30.554000000000002</v>
      </c>
      <c r="J390" s="30">
        <f t="shared" si="341"/>
        <v>-13.352999999999952</v>
      </c>
      <c r="K390" s="29">
        <f t="shared" si="341"/>
        <v>-61.282999999999902</v>
      </c>
      <c r="L390" s="30">
        <f t="shared" si="341"/>
        <v>-43.967000000000013</v>
      </c>
      <c r="M390" s="30">
        <f t="shared" si="341"/>
        <v>-28.7530000000001</v>
      </c>
      <c r="N390" s="30">
        <f t="shared" si="341"/>
        <v>-39.129000000000019</v>
      </c>
      <c r="O390" s="30">
        <f t="shared" si="341"/>
        <v>-74.838000000000079</v>
      </c>
      <c r="P390" s="29">
        <f t="shared" si="341"/>
        <v>-186.68899999999962</v>
      </c>
      <c r="Q390" s="30">
        <f t="shared" si="341"/>
        <v>-102.44599999999991</v>
      </c>
      <c r="R390" s="30">
        <f t="shared" si="341"/>
        <v>-170.18799999999999</v>
      </c>
      <c r="S390" s="30">
        <f t="shared" si="341"/>
        <v>-183.66200000000003</v>
      </c>
      <c r="T390" s="30">
        <f t="shared" si="341"/>
        <v>-260.33299999999991</v>
      </c>
      <c r="U390" s="29">
        <f t="shared" si="341"/>
        <v>-716.62899999999991</v>
      </c>
      <c r="V390" s="30">
        <f t="shared" si="341"/>
        <v>-248.22400000000005</v>
      </c>
      <c r="W390" s="31">
        <f t="shared" si="341"/>
        <v>-238.03999999999996</v>
      </c>
      <c r="X390" s="31">
        <f t="shared" si="341"/>
        <v>85.62199999999973</v>
      </c>
      <c r="Y390" s="30">
        <f t="shared" si="341"/>
        <v>-266.69800000000021</v>
      </c>
      <c r="Z390" s="29">
        <f t="shared" si="341"/>
        <v>-667.3400000000006</v>
      </c>
      <c r="AA390" s="30">
        <f t="shared" si="341"/>
        <v>-257.54899999999998</v>
      </c>
      <c r="AB390" s="31">
        <f t="shared" si="341"/>
        <v>-240.91600000000017</v>
      </c>
      <c r="AC390" s="31">
        <f t="shared" si="341"/>
        <v>-535.47999999999979</v>
      </c>
      <c r="AD390" s="30">
        <f t="shared" si="341"/>
        <v>-598.14100000000076</v>
      </c>
      <c r="AE390" s="29">
        <f t="shared" si="341"/>
        <v>-1632.0859999999993</v>
      </c>
      <c r="AF390" s="30">
        <f t="shared" si="341"/>
        <v>-596.97400000000016</v>
      </c>
      <c r="AG390" s="31">
        <f t="shared" si="341"/>
        <v>-621.39200000000096</v>
      </c>
      <c r="AH390" s="31">
        <f t="shared" si="341"/>
        <v>416.75700000000006</v>
      </c>
      <c r="AI390" s="30">
        <f t="shared" ref="AI390:BG390" si="342">AI385-SUM(AI387:AI389)</f>
        <v>413.53600000000051</v>
      </c>
      <c r="AJ390" s="29">
        <f t="shared" si="342"/>
        <v>-388.07299999999941</v>
      </c>
      <c r="AK390" s="30">
        <f t="shared" si="342"/>
        <v>-521.83100000000013</v>
      </c>
      <c r="AL390" s="31">
        <f t="shared" si="342"/>
        <v>-167.45800000000054</v>
      </c>
      <c r="AM390" s="31">
        <f t="shared" si="342"/>
        <v>261</v>
      </c>
      <c r="AN390" s="30">
        <f t="shared" si="342"/>
        <v>359.28899999999953</v>
      </c>
      <c r="AO390" s="29">
        <f t="shared" si="342"/>
        <v>-69</v>
      </c>
      <c r="AP390" s="30">
        <f t="shared" si="342"/>
        <v>283</v>
      </c>
      <c r="AQ390" s="31">
        <f t="shared" si="342"/>
        <v>327</v>
      </c>
      <c r="AR390" s="31">
        <f t="shared" si="342"/>
        <v>809</v>
      </c>
      <c r="AS390" s="30">
        <f t="shared" si="342"/>
        <v>575</v>
      </c>
      <c r="AT390" s="29">
        <f t="shared" si="342"/>
        <v>1994</v>
      </c>
      <c r="AU390" s="30">
        <f t="shared" si="342"/>
        <v>594</v>
      </c>
      <c r="AV390" s="31">
        <f t="shared" si="342"/>
        <v>1312</v>
      </c>
      <c r="AW390" s="795">
        <f t="shared" si="342"/>
        <v>2004</v>
      </c>
      <c r="AX390" s="44">
        <f t="shared" si="342"/>
        <v>2314.2571351610486</v>
      </c>
      <c r="AY390" s="45">
        <f t="shared" si="342"/>
        <v>6224.2571351610486</v>
      </c>
      <c r="AZ390" s="44">
        <f t="shared" si="342"/>
        <v>3160.2765559195923</v>
      </c>
      <c r="BA390" s="44">
        <f t="shared" si="342"/>
        <v>3617.7280743631654</v>
      </c>
      <c r="BB390" s="44">
        <f t="shared" si="342"/>
        <v>4747.8993092370511</v>
      </c>
      <c r="BC390" s="44">
        <f t="shared" si="342"/>
        <v>4647.4101953207473</v>
      </c>
      <c r="BD390" s="45">
        <f t="shared" si="342"/>
        <v>16173.314134840555</v>
      </c>
      <c r="BE390" s="45">
        <f t="shared" si="342"/>
        <v>20118.947688603952</v>
      </c>
      <c r="BF390" s="45">
        <f t="shared" si="342"/>
        <v>24805.309969958224</v>
      </c>
      <c r="BG390" s="45">
        <f t="shared" si="342"/>
        <v>30394.006130766487</v>
      </c>
      <c r="BH390" s="368"/>
    </row>
    <row r="391" spans="1:60" s="116" customFormat="1" x14ac:dyDescent="0.25">
      <c r="A391" s="436" t="str">
        <f>CONCATENATE("Adjusted ",A390,IF(AND(ROUND(SUM(C390:BH390)-SUM(C391:BH391),6)=0)," (No Adjustments)",""))</f>
        <v>Adjusted EBIT (No Adjustments)</v>
      </c>
      <c r="B391" s="531"/>
      <c r="C391" s="33">
        <f t="shared" ref="C391:AH391" si="343">C390</f>
        <v>-51.897000000000006</v>
      </c>
      <c r="D391" s="33">
        <f t="shared" si="343"/>
        <v>-146.83799999999999</v>
      </c>
      <c r="E391" s="33">
        <f t="shared" si="343"/>
        <v>-251.48799999999994</v>
      </c>
      <c r="F391" s="33">
        <f t="shared" si="343"/>
        <v>-394.28300000000002</v>
      </c>
      <c r="G391" s="368">
        <f t="shared" si="343"/>
        <v>-5.5839999999999463</v>
      </c>
      <c r="H391" s="368">
        <f t="shared" si="343"/>
        <v>-11.792000000000002</v>
      </c>
      <c r="I391" s="368">
        <f t="shared" si="343"/>
        <v>-30.554000000000002</v>
      </c>
      <c r="J391" s="368">
        <f t="shared" si="343"/>
        <v>-13.352999999999952</v>
      </c>
      <c r="K391" s="33">
        <f t="shared" si="343"/>
        <v>-61.282999999999902</v>
      </c>
      <c r="L391" s="368">
        <f t="shared" si="343"/>
        <v>-43.967000000000013</v>
      </c>
      <c r="M391" s="368">
        <f t="shared" si="343"/>
        <v>-28.7530000000001</v>
      </c>
      <c r="N391" s="368">
        <f t="shared" si="343"/>
        <v>-39.129000000000019</v>
      </c>
      <c r="O391" s="368">
        <f t="shared" si="343"/>
        <v>-74.838000000000079</v>
      </c>
      <c r="P391" s="33">
        <f t="shared" si="343"/>
        <v>-186.68899999999962</v>
      </c>
      <c r="Q391" s="368">
        <f t="shared" si="343"/>
        <v>-102.44599999999991</v>
      </c>
      <c r="R391" s="368">
        <f t="shared" si="343"/>
        <v>-170.18799999999999</v>
      </c>
      <c r="S391" s="368">
        <f t="shared" si="343"/>
        <v>-183.66200000000003</v>
      </c>
      <c r="T391" s="368">
        <f t="shared" si="343"/>
        <v>-260.33299999999991</v>
      </c>
      <c r="U391" s="33">
        <f t="shared" si="343"/>
        <v>-716.62899999999991</v>
      </c>
      <c r="V391" s="368">
        <f t="shared" si="343"/>
        <v>-248.22400000000005</v>
      </c>
      <c r="W391" s="34">
        <f t="shared" si="343"/>
        <v>-238.03999999999996</v>
      </c>
      <c r="X391" s="34">
        <f t="shared" si="343"/>
        <v>85.62199999999973</v>
      </c>
      <c r="Y391" s="368">
        <f t="shared" si="343"/>
        <v>-266.69800000000021</v>
      </c>
      <c r="Z391" s="33">
        <f t="shared" si="343"/>
        <v>-667.3400000000006</v>
      </c>
      <c r="AA391" s="368">
        <f t="shared" si="343"/>
        <v>-257.54899999999998</v>
      </c>
      <c r="AB391" s="34">
        <f t="shared" si="343"/>
        <v>-240.91600000000017</v>
      </c>
      <c r="AC391" s="34">
        <f t="shared" si="343"/>
        <v>-535.47999999999979</v>
      </c>
      <c r="AD391" s="368">
        <f t="shared" si="343"/>
        <v>-598.14100000000076</v>
      </c>
      <c r="AE391" s="33">
        <f t="shared" si="343"/>
        <v>-1632.0859999999993</v>
      </c>
      <c r="AF391" s="368">
        <f t="shared" si="343"/>
        <v>-596.97400000000016</v>
      </c>
      <c r="AG391" s="34">
        <f t="shared" si="343"/>
        <v>-621.39200000000096</v>
      </c>
      <c r="AH391" s="34">
        <f t="shared" si="343"/>
        <v>416.75700000000006</v>
      </c>
      <c r="AI391" s="368">
        <f t="shared" ref="AI391:BG391" si="344">AI390</f>
        <v>413.53600000000051</v>
      </c>
      <c r="AJ391" s="33">
        <f t="shared" si="344"/>
        <v>-388.07299999999941</v>
      </c>
      <c r="AK391" s="368">
        <f t="shared" si="344"/>
        <v>-521.83100000000013</v>
      </c>
      <c r="AL391" s="34">
        <f t="shared" si="344"/>
        <v>-167.45800000000054</v>
      </c>
      <c r="AM391" s="34">
        <f t="shared" si="344"/>
        <v>261</v>
      </c>
      <c r="AN391" s="368">
        <f t="shared" si="344"/>
        <v>359.28899999999953</v>
      </c>
      <c r="AO391" s="33">
        <f t="shared" si="344"/>
        <v>-69</v>
      </c>
      <c r="AP391" s="368">
        <f t="shared" si="344"/>
        <v>283</v>
      </c>
      <c r="AQ391" s="34">
        <f t="shared" si="344"/>
        <v>327</v>
      </c>
      <c r="AR391" s="34">
        <f t="shared" si="344"/>
        <v>809</v>
      </c>
      <c r="AS391" s="368">
        <f t="shared" si="344"/>
        <v>575</v>
      </c>
      <c r="AT391" s="33">
        <f t="shared" si="344"/>
        <v>1994</v>
      </c>
      <c r="AU391" s="368">
        <f t="shared" si="344"/>
        <v>594</v>
      </c>
      <c r="AV391" s="34">
        <f t="shared" si="344"/>
        <v>1312</v>
      </c>
      <c r="AW391" s="793">
        <f t="shared" si="344"/>
        <v>2004</v>
      </c>
      <c r="AX391" s="437">
        <f t="shared" si="344"/>
        <v>2314.2571351610486</v>
      </c>
      <c r="AY391" s="438">
        <f>SUM(AU391,AV391,AW391,AX391)</f>
        <v>6224.2571351610486</v>
      </c>
      <c r="AZ391" s="437">
        <f t="shared" si="344"/>
        <v>3160.2765559195923</v>
      </c>
      <c r="BA391" s="437">
        <f t="shared" si="344"/>
        <v>3617.7280743631654</v>
      </c>
      <c r="BB391" s="437">
        <f t="shared" si="344"/>
        <v>4747.8993092370511</v>
      </c>
      <c r="BC391" s="437">
        <f t="shared" si="344"/>
        <v>4647.4101953207473</v>
      </c>
      <c r="BD391" s="438">
        <f>SUM(AZ391,BA391,BB391,BC391)</f>
        <v>16173.314134840555</v>
      </c>
      <c r="BE391" s="438">
        <f t="shared" si="344"/>
        <v>20118.947688603952</v>
      </c>
      <c r="BF391" s="438">
        <f t="shared" si="344"/>
        <v>24805.309969958224</v>
      </c>
      <c r="BG391" s="438">
        <f t="shared" si="344"/>
        <v>30394.006130766487</v>
      </c>
      <c r="BH391" s="368"/>
    </row>
    <row r="392" spans="1:60" s="116" customFormat="1" x14ac:dyDescent="0.25">
      <c r="A392" s="892" t="s">
        <v>745</v>
      </c>
      <c r="B392" s="543"/>
      <c r="C392" s="544"/>
      <c r="D392" s="544"/>
      <c r="E392" s="544"/>
      <c r="F392" s="544"/>
      <c r="G392" s="545"/>
      <c r="H392" s="545"/>
      <c r="I392" s="545"/>
      <c r="J392" s="545"/>
      <c r="K392" s="544"/>
      <c r="L392" s="545"/>
      <c r="M392" s="545"/>
      <c r="N392" s="545"/>
      <c r="O392" s="545"/>
      <c r="P392" s="544"/>
      <c r="Q392" s="545"/>
      <c r="R392" s="545"/>
      <c r="S392" s="545"/>
      <c r="T392" s="545"/>
      <c r="U392" s="544"/>
      <c r="V392" s="545"/>
      <c r="W392" s="545"/>
      <c r="X392" s="545"/>
      <c r="Y392" s="545"/>
      <c r="Z392" s="544"/>
      <c r="AA392" s="545"/>
      <c r="AB392" s="545"/>
      <c r="AC392" s="545"/>
      <c r="AD392" s="545"/>
      <c r="AE392" s="544"/>
      <c r="AF392" s="545"/>
      <c r="AG392" s="545"/>
      <c r="AH392" s="545"/>
      <c r="AI392" s="545"/>
      <c r="AJ392" s="544"/>
      <c r="AK392" s="545"/>
      <c r="AL392" s="545"/>
      <c r="AM392" s="545"/>
      <c r="AN392" s="545"/>
      <c r="AO392" s="544"/>
      <c r="AP392" s="545"/>
      <c r="AQ392" s="545"/>
      <c r="AR392" s="545"/>
      <c r="AS392" s="545"/>
      <c r="AT392" s="544"/>
      <c r="AU392" s="545"/>
      <c r="AV392" s="545"/>
      <c r="AW392" s="962"/>
      <c r="AX392" s="545" t="str">
        <f t="shared" ref="AX392:BG392" ca="1" si="345">IFERROR(VLOOKUP($A392,tb_ConsensusEstimate,MATCH(AX$5,OFFSET(tb_ConsensusEstimate,0,0,1,COLUMNS(tb_ConsensusEstimate)),0),FALSE),"-")</f>
        <v>N/A</v>
      </c>
      <c r="AY392" s="544" t="str">
        <f t="shared" ca="1" si="345"/>
        <v>N/A</v>
      </c>
      <c r="AZ392" s="545" t="str">
        <f t="shared" ca="1" si="345"/>
        <v>N/A</v>
      </c>
      <c r="BA392" s="545" t="str">
        <f t="shared" ca="1" si="345"/>
        <v>N/A</v>
      </c>
      <c r="BB392" s="545" t="str">
        <f t="shared" ca="1" si="345"/>
        <v>N/A</v>
      </c>
      <c r="BC392" s="545" t="str">
        <f t="shared" ca="1" si="345"/>
        <v>N/A</v>
      </c>
      <c r="BD392" s="544" t="str">
        <f t="shared" ca="1" si="345"/>
        <v>N/A</v>
      </c>
      <c r="BE392" s="544" t="str">
        <f t="shared" ca="1" si="345"/>
        <v>N/A</v>
      </c>
      <c r="BF392" s="544" t="str">
        <f t="shared" ca="1" si="345"/>
        <v>N/A</v>
      </c>
      <c r="BG392" s="544" t="str">
        <f t="shared" ca="1" si="345"/>
        <v>N/A</v>
      </c>
      <c r="BH392" s="368"/>
    </row>
    <row r="393" spans="1:60" s="356" customFormat="1" x14ac:dyDescent="0.25">
      <c r="A393" s="526"/>
      <c r="B393" s="450"/>
      <c r="C393" s="440"/>
      <c r="D393" s="440"/>
      <c r="E393" s="440"/>
      <c r="F393" s="440"/>
      <c r="G393" s="439"/>
      <c r="H393" s="439"/>
      <c r="I393" s="439"/>
      <c r="J393" s="439"/>
      <c r="K393" s="440"/>
      <c r="L393" s="439"/>
      <c r="M393" s="439"/>
      <c r="N393" s="439"/>
      <c r="O393" s="439"/>
      <c r="P393" s="440"/>
      <c r="Q393" s="439"/>
      <c r="R393" s="439"/>
      <c r="S393" s="439"/>
      <c r="T393" s="439"/>
      <c r="U393" s="440"/>
      <c r="V393" s="439"/>
      <c r="W393" s="439"/>
      <c r="X393" s="439"/>
      <c r="Y393" s="439"/>
      <c r="Z393" s="440"/>
      <c r="AA393" s="439"/>
      <c r="AB393" s="439"/>
      <c r="AC393" s="439"/>
      <c r="AD393" s="439"/>
      <c r="AE393" s="440"/>
      <c r="AF393" s="439"/>
      <c r="AG393" s="439"/>
      <c r="AH393" s="439"/>
      <c r="AI393" s="439"/>
      <c r="AJ393" s="440"/>
      <c r="AK393" s="439"/>
      <c r="AL393" s="439"/>
      <c r="AM393" s="439"/>
      <c r="AN393" s="439"/>
      <c r="AO393" s="440"/>
      <c r="AP393" s="439"/>
      <c r="AQ393" s="439"/>
      <c r="AR393" s="439"/>
      <c r="AS393" s="439"/>
      <c r="AT393" s="440"/>
      <c r="AU393" s="439"/>
      <c r="AV393" s="439"/>
      <c r="AW393" s="726"/>
      <c r="AX393" s="439"/>
      <c r="AY393" s="440"/>
      <c r="AZ393" s="439"/>
      <c r="BA393" s="439"/>
      <c r="BB393" s="439"/>
      <c r="BC393" s="439"/>
      <c r="BD393" s="440"/>
      <c r="BE393" s="440"/>
      <c r="BF393" s="440"/>
      <c r="BG393" s="440"/>
      <c r="BH393" s="361"/>
    </row>
    <row r="394" spans="1:60" s="356" customFormat="1" x14ac:dyDescent="0.25">
      <c r="A394" s="526" t="s">
        <v>122</v>
      </c>
      <c r="B394" s="450"/>
      <c r="C394" s="440">
        <f t="shared" ref="C394:AW394" si="346">C585</f>
        <v>6.94</v>
      </c>
      <c r="D394" s="440">
        <f t="shared" si="346"/>
        <v>10.622999999999999</v>
      </c>
      <c r="E394" s="440">
        <f t="shared" si="346"/>
        <v>16.919</v>
      </c>
      <c r="F394" s="440">
        <f t="shared" si="346"/>
        <v>28.824999999999999</v>
      </c>
      <c r="G394" s="439">
        <f t="shared" si="346"/>
        <v>17.850000000000001</v>
      </c>
      <c r="H394" s="439">
        <f t="shared" si="346"/>
        <v>22.198</v>
      </c>
      <c r="I394" s="439">
        <f t="shared" si="346"/>
        <v>28.450000000000003</v>
      </c>
      <c r="J394" s="439">
        <f t="shared" si="346"/>
        <v>37.584999999999994</v>
      </c>
      <c r="K394" s="440">
        <f t="shared" si="346"/>
        <v>106.083</v>
      </c>
      <c r="L394" s="439">
        <f t="shared" si="346"/>
        <v>44.268000000000001</v>
      </c>
      <c r="M394" s="439">
        <f t="shared" si="346"/>
        <v>54.715000000000003</v>
      </c>
      <c r="N394" s="439">
        <f t="shared" si="346"/>
        <v>64.972000000000008</v>
      </c>
      <c r="O394" s="439">
        <f t="shared" si="346"/>
        <v>67.975999999999999</v>
      </c>
      <c r="P394" s="440">
        <f t="shared" si="346"/>
        <v>231.93100000000001</v>
      </c>
      <c r="Q394" s="439">
        <f t="shared" si="346"/>
        <v>77.111999999999995</v>
      </c>
      <c r="R394" s="439">
        <f t="shared" si="346"/>
        <v>91.38900000000001</v>
      </c>
      <c r="S394" s="439">
        <f t="shared" si="346"/>
        <v>110.36600000000001</v>
      </c>
      <c r="T394" s="439">
        <f t="shared" si="346"/>
        <v>143.72299999999996</v>
      </c>
      <c r="U394" s="440">
        <f t="shared" si="346"/>
        <v>422.59</v>
      </c>
      <c r="V394" s="439">
        <f t="shared" si="346"/>
        <v>156.46</v>
      </c>
      <c r="W394" s="439">
        <f t="shared" si="346"/>
        <v>183.232</v>
      </c>
      <c r="X394" s="439">
        <f t="shared" si="346"/>
        <v>280.46799999999996</v>
      </c>
      <c r="Y394" s="439">
        <f t="shared" si="346"/>
        <v>326.93900000000008</v>
      </c>
      <c r="Z394" s="440">
        <f t="shared" si="346"/>
        <v>947.09900000000005</v>
      </c>
      <c r="AA394" s="439">
        <f t="shared" si="346"/>
        <v>376.60199999999998</v>
      </c>
      <c r="AB394" s="439">
        <f t="shared" si="346"/>
        <v>389.17100000000005</v>
      </c>
      <c r="AC394" s="439">
        <f t="shared" si="346"/>
        <v>400.62399999999991</v>
      </c>
      <c r="AD394" s="439">
        <f t="shared" si="346"/>
        <v>469.60599999999999</v>
      </c>
      <c r="AE394" s="440">
        <f t="shared" si="346"/>
        <v>1636.0029999999999</v>
      </c>
      <c r="AF394" s="439">
        <f t="shared" si="346"/>
        <v>416.233</v>
      </c>
      <c r="AG394" s="439">
        <f t="shared" si="346"/>
        <v>485.25500000000005</v>
      </c>
      <c r="AH394" s="439">
        <f t="shared" si="346"/>
        <v>502.82500000000005</v>
      </c>
      <c r="AI394" s="439">
        <f t="shared" si="346"/>
        <v>496.73699999999985</v>
      </c>
      <c r="AJ394" s="440">
        <f t="shared" si="346"/>
        <v>1901.05</v>
      </c>
      <c r="AK394" s="439">
        <f t="shared" si="346"/>
        <v>467.577</v>
      </c>
      <c r="AL394" s="439">
        <f t="shared" si="346"/>
        <v>578.57199999999989</v>
      </c>
      <c r="AM394" s="439">
        <f t="shared" si="346"/>
        <v>530.85100000000011</v>
      </c>
      <c r="AN394" s="439">
        <f t="shared" si="346"/>
        <v>577</v>
      </c>
      <c r="AO394" s="440">
        <f t="shared" si="346"/>
        <v>2154</v>
      </c>
      <c r="AP394" s="439">
        <f t="shared" si="346"/>
        <v>553</v>
      </c>
      <c r="AQ394" s="439">
        <f t="shared" si="346"/>
        <v>567</v>
      </c>
      <c r="AR394" s="439">
        <f t="shared" si="346"/>
        <v>584</v>
      </c>
      <c r="AS394" s="439">
        <f t="shared" si="346"/>
        <v>618</v>
      </c>
      <c r="AT394" s="440">
        <f t="shared" si="346"/>
        <v>2322</v>
      </c>
      <c r="AU394" s="439">
        <f t="shared" si="346"/>
        <v>621</v>
      </c>
      <c r="AV394" s="439">
        <f t="shared" si="346"/>
        <v>681</v>
      </c>
      <c r="AW394" s="726">
        <f t="shared" si="346"/>
        <v>761</v>
      </c>
      <c r="AX394" s="439">
        <f>AX298</f>
        <v>851.07183561643842</v>
      </c>
      <c r="AY394" s="440">
        <f>SUM(AU394,AV394,AW394,AX394)</f>
        <v>2914.0718356164384</v>
      </c>
      <c r="AZ394" s="439">
        <f>AZ298</f>
        <v>850.88801575530113</v>
      </c>
      <c r="BA394" s="439">
        <f>BA298</f>
        <v>882.87120877667439</v>
      </c>
      <c r="BB394" s="439">
        <f>BB298</f>
        <v>914.23389988141503</v>
      </c>
      <c r="BC394" s="439">
        <f>BC298</f>
        <v>937.02588139631041</v>
      </c>
      <c r="BD394" s="440">
        <f>SUM(AZ394,BA394,BB394,BC394)</f>
        <v>3585.019005809701</v>
      </c>
      <c r="BE394" s="440">
        <f>BE298</f>
        <v>3812.5069591182682</v>
      </c>
      <c r="BF394" s="440">
        <f>BF298</f>
        <v>4151.5389264436089</v>
      </c>
      <c r="BG394" s="440">
        <f>BG298</f>
        <v>4438.7637023732323</v>
      </c>
      <c r="BH394" s="361"/>
    </row>
    <row r="395" spans="1:60" s="356" customFormat="1" x14ac:dyDescent="0.25">
      <c r="A395" s="526" t="s">
        <v>123</v>
      </c>
      <c r="B395" s="450"/>
      <c r="C395" s="440">
        <f>C586</f>
        <v>1.4339999999999999</v>
      </c>
      <c r="D395" s="440">
        <f t="shared" ref="D395:AX395" si="347">D292</f>
        <v>21.156000000000002</v>
      </c>
      <c r="E395" s="440">
        <f t="shared" si="347"/>
        <v>29.419</v>
      </c>
      <c r="F395" s="440">
        <f t="shared" si="347"/>
        <v>50.144999999999996</v>
      </c>
      <c r="G395" s="439">
        <f t="shared" si="347"/>
        <v>14.867999999999999</v>
      </c>
      <c r="H395" s="439">
        <f t="shared" si="347"/>
        <v>19.259</v>
      </c>
      <c r="I395" s="439">
        <f t="shared" si="347"/>
        <v>21.439</v>
      </c>
      <c r="J395" s="439">
        <f t="shared" si="347"/>
        <v>39.158000000000001</v>
      </c>
      <c r="K395" s="440">
        <f t="shared" si="347"/>
        <v>94.724000000000004</v>
      </c>
      <c r="L395" s="439">
        <f t="shared" si="347"/>
        <v>37.037999999999997</v>
      </c>
      <c r="M395" s="439">
        <f t="shared" si="347"/>
        <v>35.783000000000001</v>
      </c>
      <c r="N395" s="439">
        <f t="shared" si="347"/>
        <v>39.158000000000001</v>
      </c>
      <c r="O395" s="439">
        <f t="shared" si="347"/>
        <v>44.516999999999996</v>
      </c>
      <c r="P395" s="440">
        <f t="shared" si="347"/>
        <v>156.49600000000001</v>
      </c>
      <c r="Q395" s="439">
        <f t="shared" si="347"/>
        <v>43.025999999999996</v>
      </c>
      <c r="R395" s="439">
        <f t="shared" si="347"/>
        <v>43.335000000000001</v>
      </c>
      <c r="S395" s="439">
        <f t="shared" si="347"/>
        <v>56.033000000000001</v>
      </c>
      <c r="T395" s="439">
        <f t="shared" si="347"/>
        <v>55.605000000000004</v>
      </c>
      <c r="U395" s="440">
        <f t="shared" si="347"/>
        <v>197.99900000000002</v>
      </c>
      <c r="V395" s="439">
        <f t="shared" si="347"/>
        <v>89.656999999999996</v>
      </c>
      <c r="W395" s="439">
        <f t="shared" si="347"/>
        <v>67.311999999999998</v>
      </c>
      <c r="X395" s="439">
        <f t="shared" si="347"/>
        <v>89.543000000000006</v>
      </c>
      <c r="Y395" s="439">
        <f t="shared" si="347"/>
        <v>87.710999999999999</v>
      </c>
      <c r="Z395" s="440">
        <f t="shared" si="347"/>
        <v>334.22500000000002</v>
      </c>
      <c r="AA395" s="439">
        <f t="shared" si="347"/>
        <v>103.717</v>
      </c>
      <c r="AB395" s="439">
        <f t="shared" si="347"/>
        <v>116.04199999999999</v>
      </c>
      <c r="AC395" s="439">
        <f t="shared" si="347"/>
        <v>112.65299999999999</v>
      </c>
      <c r="AD395" s="439">
        <f t="shared" si="347"/>
        <v>134.34799999999998</v>
      </c>
      <c r="AE395" s="440">
        <f t="shared" si="347"/>
        <v>466.76</v>
      </c>
      <c r="AF395" s="439">
        <f t="shared" si="347"/>
        <v>141.63900000000001</v>
      </c>
      <c r="AG395" s="439">
        <f t="shared" si="347"/>
        <v>197.34399999999999</v>
      </c>
      <c r="AH395" s="439">
        <f t="shared" si="347"/>
        <v>204.72800000000001</v>
      </c>
      <c r="AI395" s="439">
        <f t="shared" si="347"/>
        <v>205.31300000000002</v>
      </c>
      <c r="AJ395" s="440">
        <f t="shared" si="347"/>
        <v>749.024</v>
      </c>
      <c r="AK395" s="439">
        <f t="shared" si="347"/>
        <v>208.37799999999999</v>
      </c>
      <c r="AL395" s="439">
        <f t="shared" si="347"/>
        <v>209.863</v>
      </c>
      <c r="AM395" s="439">
        <f t="shared" si="347"/>
        <v>199</v>
      </c>
      <c r="AN395" s="439">
        <f t="shared" si="347"/>
        <v>280.75899999999996</v>
      </c>
      <c r="AO395" s="440">
        <f t="shared" si="347"/>
        <v>898</v>
      </c>
      <c r="AP395" s="439">
        <f t="shared" si="347"/>
        <v>211</v>
      </c>
      <c r="AQ395" s="439">
        <f t="shared" si="347"/>
        <v>347</v>
      </c>
      <c r="AR395" s="439">
        <f t="shared" si="347"/>
        <v>543</v>
      </c>
      <c r="AS395" s="439">
        <f t="shared" si="347"/>
        <v>633</v>
      </c>
      <c r="AT395" s="440">
        <f t="shared" si="347"/>
        <v>1734</v>
      </c>
      <c r="AU395" s="439">
        <f t="shared" si="347"/>
        <v>614</v>
      </c>
      <c r="AV395" s="439">
        <f t="shared" si="347"/>
        <v>474</v>
      </c>
      <c r="AW395" s="726">
        <f t="shared" si="347"/>
        <v>475</v>
      </c>
      <c r="AX395" s="439">
        <f t="shared" si="347"/>
        <v>315</v>
      </c>
      <c r="AY395" s="440">
        <f>SUM(AU395,AV395,AW395,AX395)</f>
        <v>1878</v>
      </c>
      <c r="AZ395" s="439">
        <f>AZ292</f>
        <v>315</v>
      </c>
      <c r="BA395" s="439">
        <f>BA292</f>
        <v>315</v>
      </c>
      <c r="BB395" s="439">
        <f>BB292</f>
        <v>315</v>
      </c>
      <c r="BC395" s="439">
        <f>BC292</f>
        <v>315</v>
      </c>
      <c r="BD395" s="440">
        <f>SUM(AZ395,BA395,BB395,BC395)</f>
        <v>1260</v>
      </c>
      <c r="BE395" s="440">
        <f>BE292</f>
        <v>1260</v>
      </c>
      <c r="BF395" s="440">
        <f>BF292</f>
        <v>1260</v>
      </c>
      <c r="BG395" s="440">
        <f>BG292</f>
        <v>1260</v>
      </c>
      <c r="BH395" s="361"/>
    </row>
    <row r="396" spans="1:60" s="116" customFormat="1" x14ac:dyDescent="0.25">
      <c r="A396" s="86" t="s">
        <v>121</v>
      </c>
      <c r="B396" s="529"/>
      <c r="C396" s="29">
        <f t="shared" ref="C396:AH396" si="348">C390+SUM(C394:C395)</f>
        <v>-43.523000000000003</v>
      </c>
      <c r="D396" s="29">
        <f t="shared" si="348"/>
        <v>-115.059</v>
      </c>
      <c r="E396" s="29">
        <f t="shared" si="348"/>
        <v>-205.14999999999995</v>
      </c>
      <c r="F396" s="29">
        <f t="shared" si="348"/>
        <v>-315.31299999999999</v>
      </c>
      <c r="G396" s="30">
        <f t="shared" si="348"/>
        <v>27.134000000000057</v>
      </c>
      <c r="H396" s="30">
        <f t="shared" si="348"/>
        <v>29.664999999999999</v>
      </c>
      <c r="I396" s="30">
        <f t="shared" si="348"/>
        <v>19.335000000000001</v>
      </c>
      <c r="J396" s="30">
        <f t="shared" si="348"/>
        <v>63.390000000000043</v>
      </c>
      <c r="K396" s="29">
        <f t="shared" si="348"/>
        <v>139.52400000000011</v>
      </c>
      <c r="L396" s="30">
        <f t="shared" si="348"/>
        <v>37.338999999999984</v>
      </c>
      <c r="M396" s="30">
        <f t="shared" si="348"/>
        <v>61.744999999999905</v>
      </c>
      <c r="N396" s="30">
        <f t="shared" si="348"/>
        <v>65.000999999999991</v>
      </c>
      <c r="O396" s="30">
        <f t="shared" si="348"/>
        <v>37.654999999999916</v>
      </c>
      <c r="P396" s="29">
        <f t="shared" si="348"/>
        <v>201.7380000000004</v>
      </c>
      <c r="Q396" s="30">
        <f t="shared" si="348"/>
        <v>17.692000000000078</v>
      </c>
      <c r="R396" s="30">
        <f t="shared" si="348"/>
        <v>-35.46399999999997</v>
      </c>
      <c r="S396" s="30">
        <f t="shared" si="348"/>
        <v>-17.263000000000034</v>
      </c>
      <c r="T396" s="30">
        <f t="shared" si="348"/>
        <v>-61.004999999999939</v>
      </c>
      <c r="U396" s="29">
        <f t="shared" si="348"/>
        <v>-96.039999999999964</v>
      </c>
      <c r="V396" s="30">
        <f t="shared" si="348"/>
        <v>-2.1070000000000277</v>
      </c>
      <c r="W396" s="31">
        <f t="shared" si="348"/>
        <v>12.504000000000019</v>
      </c>
      <c r="X396" s="31">
        <f t="shared" si="348"/>
        <v>455.6329999999997</v>
      </c>
      <c r="Y396" s="30">
        <f t="shared" si="348"/>
        <v>147.95199999999988</v>
      </c>
      <c r="Z396" s="29">
        <f t="shared" si="348"/>
        <v>613.98399999999947</v>
      </c>
      <c r="AA396" s="30">
        <f t="shared" si="348"/>
        <v>222.76999999999998</v>
      </c>
      <c r="AB396" s="31">
        <f t="shared" si="348"/>
        <v>264.29699999999985</v>
      </c>
      <c r="AC396" s="31">
        <f t="shared" si="348"/>
        <v>-22.202999999999861</v>
      </c>
      <c r="AD396" s="30">
        <f t="shared" si="348"/>
        <v>5.8129999999991924</v>
      </c>
      <c r="AE396" s="29">
        <f t="shared" si="348"/>
        <v>470.67700000000059</v>
      </c>
      <c r="AF396" s="30">
        <f t="shared" si="348"/>
        <v>-39.102000000000089</v>
      </c>
      <c r="AG396" s="31">
        <f t="shared" si="348"/>
        <v>61.206999999999084</v>
      </c>
      <c r="AH396" s="31">
        <f t="shared" si="348"/>
        <v>1124.3100000000002</v>
      </c>
      <c r="AI396" s="30">
        <f t="shared" ref="AI396:BG396" si="349">AI390+SUM(AI394:AI395)</f>
        <v>1115.5860000000002</v>
      </c>
      <c r="AJ396" s="29">
        <f t="shared" si="349"/>
        <v>2262.0010000000007</v>
      </c>
      <c r="AK396" s="30">
        <f t="shared" si="349"/>
        <v>154.1239999999998</v>
      </c>
      <c r="AL396" s="31">
        <f t="shared" si="349"/>
        <v>620.97699999999941</v>
      </c>
      <c r="AM396" s="31">
        <f t="shared" si="349"/>
        <v>990.85100000000011</v>
      </c>
      <c r="AN396" s="30">
        <f t="shared" si="349"/>
        <v>1217.0479999999995</v>
      </c>
      <c r="AO396" s="29">
        <f t="shared" si="349"/>
        <v>2983</v>
      </c>
      <c r="AP396" s="30">
        <f t="shared" si="349"/>
        <v>1047</v>
      </c>
      <c r="AQ396" s="31">
        <f t="shared" si="349"/>
        <v>1241</v>
      </c>
      <c r="AR396" s="31">
        <f t="shared" si="349"/>
        <v>1936</v>
      </c>
      <c r="AS396" s="30">
        <f t="shared" si="349"/>
        <v>1826</v>
      </c>
      <c r="AT396" s="29">
        <f t="shared" si="349"/>
        <v>6050</v>
      </c>
      <c r="AU396" s="30">
        <f t="shared" si="349"/>
        <v>1829</v>
      </c>
      <c r="AV396" s="31">
        <f t="shared" si="349"/>
        <v>2467</v>
      </c>
      <c r="AW396" s="795">
        <f t="shared" si="349"/>
        <v>3240</v>
      </c>
      <c r="AX396" s="44">
        <f t="shared" si="349"/>
        <v>3480.328970777487</v>
      </c>
      <c r="AY396" s="45">
        <f t="shared" si="349"/>
        <v>11016.328970777486</v>
      </c>
      <c r="AZ396" s="44">
        <f t="shared" si="349"/>
        <v>4326.1645716748935</v>
      </c>
      <c r="BA396" s="44">
        <f t="shared" si="349"/>
        <v>4815.5992831398398</v>
      </c>
      <c r="BB396" s="44">
        <f t="shared" si="349"/>
        <v>5977.1332091184659</v>
      </c>
      <c r="BC396" s="44">
        <f t="shared" si="349"/>
        <v>5899.4360767170583</v>
      </c>
      <c r="BD396" s="45">
        <f t="shared" si="349"/>
        <v>21018.333140650255</v>
      </c>
      <c r="BE396" s="45">
        <f t="shared" si="349"/>
        <v>25191.454647722221</v>
      </c>
      <c r="BF396" s="45">
        <f t="shared" si="349"/>
        <v>30216.848896401832</v>
      </c>
      <c r="BG396" s="45">
        <f t="shared" si="349"/>
        <v>36092.769833139719</v>
      </c>
      <c r="BH396" s="368"/>
    </row>
    <row r="397" spans="1:60" s="116" customFormat="1" x14ac:dyDescent="0.25">
      <c r="A397" s="436" t="str">
        <f>CONCATENATE("Adjusted ",A396,IF(AND(ROUND(SUM(C396:BH396)-SUM(C397:BH397),6)=0)," (No Adjustments)",""))</f>
        <v>Adjusted EBITDA (No Adjustments)</v>
      </c>
      <c r="B397" s="531"/>
      <c r="C397" s="33">
        <f t="shared" ref="C397:AX397" si="350">C396</f>
        <v>-43.523000000000003</v>
      </c>
      <c r="D397" s="33">
        <f t="shared" si="350"/>
        <v>-115.059</v>
      </c>
      <c r="E397" s="33">
        <f t="shared" si="350"/>
        <v>-205.14999999999995</v>
      </c>
      <c r="F397" s="33">
        <f t="shared" si="350"/>
        <v>-315.31299999999999</v>
      </c>
      <c r="G397" s="368">
        <f t="shared" si="350"/>
        <v>27.134000000000057</v>
      </c>
      <c r="H397" s="368">
        <f t="shared" si="350"/>
        <v>29.664999999999999</v>
      </c>
      <c r="I397" s="368">
        <f t="shared" si="350"/>
        <v>19.335000000000001</v>
      </c>
      <c r="J397" s="368">
        <f t="shared" si="350"/>
        <v>63.390000000000043</v>
      </c>
      <c r="K397" s="33">
        <f t="shared" si="350"/>
        <v>139.52400000000011</v>
      </c>
      <c r="L397" s="368">
        <f t="shared" si="350"/>
        <v>37.338999999999984</v>
      </c>
      <c r="M397" s="368">
        <f t="shared" si="350"/>
        <v>61.744999999999905</v>
      </c>
      <c r="N397" s="368">
        <f t="shared" si="350"/>
        <v>65.000999999999991</v>
      </c>
      <c r="O397" s="368">
        <f t="shared" si="350"/>
        <v>37.654999999999916</v>
      </c>
      <c r="P397" s="33">
        <f t="shared" si="350"/>
        <v>201.7380000000004</v>
      </c>
      <c r="Q397" s="368">
        <f t="shared" si="350"/>
        <v>17.692000000000078</v>
      </c>
      <c r="R397" s="368">
        <f t="shared" si="350"/>
        <v>-35.46399999999997</v>
      </c>
      <c r="S397" s="368">
        <f t="shared" si="350"/>
        <v>-17.263000000000034</v>
      </c>
      <c r="T397" s="368">
        <f t="shared" si="350"/>
        <v>-61.004999999999939</v>
      </c>
      <c r="U397" s="33">
        <f t="shared" si="350"/>
        <v>-96.039999999999964</v>
      </c>
      <c r="V397" s="368">
        <f t="shared" si="350"/>
        <v>-2.1070000000000277</v>
      </c>
      <c r="W397" s="34">
        <f t="shared" si="350"/>
        <v>12.504000000000019</v>
      </c>
      <c r="X397" s="34">
        <f t="shared" si="350"/>
        <v>455.6329999999997</v>
      </c>
      <c r="Y397" s="368">
        <f t="shared" si="350"/>
        <v>147.95199999999988</v>
      </c>
      <c r="Z397" s="33">
        <f t="shared" si="350"/>
        <v>613.98399999999947</v>
      </c>
      <c r="AA397" s="368">
        <f t="shared" si="350"/>
        <v>222.76999999999998</v>
      </c>
      <c r="AB397" s="34">
        <f t="shared" si="350"/>
        <v>264.29699999999985</v>
      </c>
      <c r="AC397" s="34">
        <f t="shared" si="350"/>
        <v>-22.202999999999861</v>
      </c>
      <c r="AD397" s="368">
        <f t="shared" si="350"/>
        <v>5.8129999999991924</v>
      </c>
      <c r="AE397" s="33">
        <f t="shared" si="350"/>
        <v>470.67700000000059</v>
      </c>
      <c r="AF397" s="368">
        <f t="shared" si="350"/>
        <v>-39.102000000000089</v>
      </c>
      <c r="AG397" s="34">
        <f t="shared" si="350"/>
        <v>61.206999999999084</v>
      </c>
      <c r="AH397" s="34">
        <f t="shared" si="350"/>
        <v>1124.3100000000002</v>
      </c>
      <c r="AI397" s="368">
        <f t="shared" si="350"/>
        <v>1115.5860000000002</v>
      </c>
      <c r="AJ397" s="33">
        <f t="shared" si="350"/>
        <v>2262.0010000000007</v>
      </c>
      <c r="AK397" s="368">
        <f t="shared" si="350"/>
        <v>154.1239999999998</v>
      </c>
      <c r="AL397" s="34">
        <f t="shared" si="350"/>
        <v>620.97699999999941</v>
      </c>
      <c r="AM397" s="34">
        <f t="shared" si="350"/>
        <v>990.85100000000011</v>
      </c>
      <c r="AN397" s="368">
        <f t="shared" si="350"/>
        <v>1217.0479999999995</v>
      </c>
      <c r="AO397" s="33">
        <f t="shared" si="350"/>
        <v>2983</v>
      </c>
      <c r="AP397" s="368">
        <f t="shared" si="350"/>
        <v>1047</v>
      </c>
      <c r="AQ397" s="34">
        <f t="shared" si="350"/>
        <v>1241</v>
      </c>
      <c r="AR397" s="34">
        <f t="shared" si="350"/>
        <v>1936</v>
      </c>
      <c r="AS397" s="368">
        <f t="shared" si="350"/>
        <v>1826</v>
      </c>
      <c r="AT397" s="33">
        <f t="shared" si="350"/>
        <v>6050</v>
      </c>
      <c r="AU397" s="368">
        <f t="shared" si="350"/>
        <v>1829</v>
      </c>
      <c r="AV397" s="34">
        <f t="shared" si="350"/>
        <v>2467</v>
      </c>
      <c r="AW397" s="793">
        <f t="shared" si="350"/>
        <v>3240</v>
      </c>
      <c r="AX397" s="437">
        <f t="shared" si="350"/>
        <v>3480.328970777487</v>
      </c>
      <c r="AY397" s="438">
        <f>SUM(AU397,AV397,AW397,AX397)</f>
        <v>11016.328970777487</v>
      </c>
      <c r="AZ397" s="437">
        <f>AZ396</f>
        <v>4326.1645716748935</v>
      </c>
      <c r="BA397" s="437">
        <f>BA396</f>
        <v>4815.5992831398398</v>
      </c>
      <c r="BB397" s="437">
        <f>BB396</f>
        <v>5977.1332091184659</v>
      </c>
      <c r="BC397" s="437">
        <f>BC396</f>
        <v>5899.4360767170583</v>
      </c>
      <c r="BD397" s="438">
        <f>SUM(AZ397,BA397,BB397,BC397)</f>
        <v>21018.333140650258</v>
      </c>
      <c r="BE397" s="438">
        <f>BE396</f>
        <v>25191.454647722221</v>
      </c>
      <c r="BF397" s="438">
        <f>BF396</f>
        <v>30216.848896401832</v>
      </c>
      <c r="BG397" s="438">
        <f>BG396</f>
        <v>36092.769833139719</v>
      </c>
      <c r="BH397" s="368"/>
    </row>
    <row r="398" spans="1:60" s="548" customFormat="1" x14ac:dyDescent="0.25">
      <c r="A398" s="542" t="str">
        <f>CONCATENATE("Consensus Estimates - ",IFERROR(LEFT(A397,FIND("(",A397)-1),A397))</f>
        <v xml:space="preserve">Consensus Estimates - Adjusted EBITDA </v>
      </c>
      <c r="B398" s="543"/>
      <c r="C398" s="544"/>
      <c r="D398" s="544"/>
      <c r="E398" s="544"/>
      <c r="F398" s="544"/>
      <c r="G398" s="545"/>
      <c r="H398" s="545"/>
      <c r="I398" s="545"/>
      <c r="J398" s="545"/>
      <c r="K398" s="544"/>
      <c r="L398" s="545"/>
      <c r="M398" s="545"/>
      <c r="N398" s="545"/>
      <c r="O398" s="545"/>
      <c r="P398" s="544"/>
      <c r="Q398" s="545"/>
      <c r="R398" s="545"/>
      <c r="S398" s="545"/>
      <c r="T398" s="545"/>
      <c r="U398" s="544"/>
      <c r="V398" s="545"/>
      <c r="W398" s="546"/>
      <c r="X398" s="546"/>
      <c r="Y398" s="545"/>
      <c r="Z398" s="544"/>
      <c r="AA398" s="545"/>
      <c r="AB398" s="546"/>
      <c r="AC398" s="546"/>
      <c r="AD398" s="545"/>
      <c r="AE398" s="544"/>
      <c r="AF398" s="545"/>
      <c r="AG398" s="546"/>
      <c r="AH398" s="546"/>
      <c r="AI398" s="545"/>
      <c r="AJ398" s="544"/>
      <c r="AK398" s="545"/>
      <c r="AL398" s="546"/>
      <c r="AM398" s="546"/>
      <c r="AN398" s="545"/>
      <c r="AO398" s="544"/>
      <c r="AP398" s="545"/>
      <c r="AQ398" s="546"/>
      <c r="AR398" s="546"/>
      <c r="AS398" s="545"/>
      <c r="AT398" s="544"/>
      <c r="AU398" s="545"/>
      <c r="AV398" s="546"/>
      <c r="AW398" s="801"/>
      <c r="AX398" s="545" t="str">
        <f t="shared" ref="AX398:BD398" ca="1" si="351">IFERROR(VLOOKUP($A398,tb_ConsensusEstimate,MATCH(AX$5,OFFSET(tb_ConsensusEstimate,0,0,1,COLUMNS(tb_ConsensusEstimate)),0),FALSE),"-")</f>
        <v>N/A</v>
      </c>
      <c r="AY398" s="547" t="str">
        <f t="shared" ca="1" si="351"/>
        <v>N/A</v>
      </c>
      <c r="AZ398" s="545" t="str">
        <f t="shared" ca="1" si="351"/>
        <v>N/A</v>
      </c>
      <c r="BA398" s="545" t="str">
        <f t="shared" ca="1" si="351"/>
        <v>N/A</v>
      </c>
      <c r="BB398" s="545" t="str">
        <f t="shared" ca="1" si="351"/>
        <v>N/A</v>
      </c>
      <c r="BC398" s="545" t="str">
        <f t="shared" ca="1" si="351"/>
        <v>N/A</v>
      </c>
      <c r="BD398" s="547" t="str">
        <f t="shared" ca="1" si="351"/>
        <v>N/A</v>
      </c>
      <c r="BE398" s="547" t="str">
        <f ca="1">IFERROR(VLOOKUP(A398,tb_ConsensusEstimate,MATCH(BE5,OFFSET(tb_ConsensusEstimate,0,0,1,COLUMNS(tb_ConsensusEstimate)),0),FALSE),"-")</f>
        <v>N/A</v>
      </c>
      <c r="BF398" s="547" t="str">
        <f ca="1">IFERROR(VLOOKUP(A398,tb_ConsensusEstimate,MATCH(BF5,OFFSET(tb_ConsensusEstimate,0,0,1,COLUMNS(tb_ConsensusEstimate)),0),FALSE),"-")</f>
        <v>N/A</v>
      </c>
      <c r="BG398" s="547" t="str">
        <f ca="1">IFERROR(VLOOKUP(A398,tb_ConsensusEstimate,MATCH(BG5,OFFSET(tb_ConsensusEstimate,0,0,1,COLUMNS(tb_ConsensusEstimate)),0),FALSE),"-")</f>
        <v>N/A</v>
      </c>
      <c r="BH398" s="545"/>
    </row>
    <row r="399" spans="1:60" s="550" customFormat="1" x14ac:dyDescent="0.25">
      <c r="A399" s="542"/>
      <c r="B399" s="543"/>
      <c r="C399" s="544"/>
      <c r="D399" s="544"/>
      <c r="E399" s="544"/>
      <c r="F399" s="544"/>
      <c r="G399" s="545"/>
      <c r="H399" s="545"/>
      <c r="I399" s="545"/>
      <c r="J399" s="545"/>
      <c r="K399" s="544"/>
      <c r="L399" s="545"/>
      <c r="M399" s="545"/>
      <c r="N399" s="545"/>
      <c r="O399" s="545"/>
      <c r="P399" s="544"/>
      <c r="Q399" s="545"/>
      <c r="R399" s="545"/>
      <c r="S399" s="545"/>
      <c r="T399" s="545"/>
      <c r="U399" s="544"/>
      <c r="V399" s="545"/>
      <c r="W399" s="546"/>
      <c r="X399" s="546"/>
      <c r="Y399" s="545"/>
      <c r="Z399" s="544"/>
      <c r="AA399" s="545"/>
      <c r="AB399" s="546"/>
      <c r="AC399" s="546"/>
      <c r="AD399" s="545"/>
      <c r="AE399" s="544"/>
      <c r="AF399" s="545"/>
      <c r="AG399" s="546"/>
      <c r="AH399" s="546"/>
      <c r="AI399" s="545"/>
      <c r="AJ399" s="544"/>
      <c r="AK399" s="545"/>
      <c r="AL399" s="546"/>
      <c r="AM399" s="546"/>
      <c r="AN399" s="545"/>
      <c r="AO399" s="544"/>
      <c r="AP399" s="545"/>
      <c r="AQ399" s="546"/>
      <c r="AR399" s="546"/>
      <c r="AS399" s="545"/>
      <c r="AT399" s="544"/>
      <c r="AU399" s="545"/>
      <c r="AV399" s="546"/>
      <c r="AW399" s="801"/>
      <c r="AX399" s="545"/>
      <c r="AY399" s="544"/>
      <c r="AZ399" s="545"/>
      <c r="BA399" s="545"/>
      <c r="BB399" s="545"/>
      <c r="BC399" s="545"/>
      <c r="BD399" s="544"/>
      <c r="BE399" s="544"/>
      <c r="BF399" s="544"/>
      <c r="BG399" s="544"/>
      <c r="BH399" s="549"/>
    </row>
    <row r="400" spans="1:60" s="356" customFormat="1" x14ac:dyDescent="0.25">
      <c r="A400" s="526" t="s">
        <v>95</v>
      </c>
      <c r="B400" s="450"/>
      <c r="C400" s="440">
        <f t="shared" ref="C400:AW400" si="352">-C350</f>
        <v>2.5310000000000001</v>
      </c>
      <c r="D400" s="440">
        <f t="shared" si="352"/>
        <v>0.99199999999999999</v>
      </c>
      <c r="E400" s="440">
        <f t="shared" si="352"/>
        <v>4.2999999999999997E-2</v>
      </c>
      <c r="F400" s="440">
        <f t="shared" si="352"/>
        <v>0.254</v>
      </c>
      <c r="G400" s="439">
        <f t="shared" si="352"/>
        <v>0.11799999999999999</v>
      </c>
      <c r="H400" s="439">
        <f t="shared" si="352"/>
        <v>20.116</v>
      </c>
      <c r="I400" s="439">
        <f t="shared" si="352"/>
        <v>6.492</v>
      </c>
      <c r="J400" s="439">
        <f t="shared" si="352"/>
        <v>6.2079999999999966</v>
      </c>
      <c r="K400" s="440">
        <f t="shared" si="352"/>
        <v>32.933999999999997</v>
      </c>
      <c r="L400" s="439">
        <f t="shared" si="352"/>
        <v>11.882999999999999</v>
      </c>
      <c r="M400" s="439">
        <f t="shared" si="352"/>
        <v>31.238</v>
      </c>
      <c r="N400" s="439">
        <f t="shared" si="352"/>
        <v>29.062000000000001</v>
      </c>
      <c r="O400" s="439">
        <f t="shared" si="352"/>
        <v>28.702999999999999</v>
      </c>
      <c r="P400" s="440">
        <f t="shared" si="352"/>
        <v>100.886</v>
      </c>
      <c r="Q400" s="439">
        <f t="shared" si="352"/>
        <v>26.574000000000002</v>
      </c>
      <c r="R400" s="439">
        <f t="shared" si="352"/>
        <v>24.352</v>
      </c>
      <c r="S400" s="439">
        <f t="shared" si="352"/>
        <v>29.308</v>
      </c>
      <c r="T400" s="439">
        <f t="shared" si="352"/>
        <v>38.616999999999997</v>
      </c>
      <c r="U400" s="440">
        <f t="shared" si="352"/>
        <v>118.851</v>
      </c>
      <c r="V400" s="439">
        <f t="shared" si="352"/>
        <v>40.625</v>
      </c>
      <c r="W400" s="439">
        <f t="shared" si="352"/>
        <v>46.368000000000002</v>
      </c>
      <c r="X400" s="439">
        <f t="shared" si="352"/>
        <v>46.713000000000001</v>
      </c>
      <c r="Y400" s="439">
        <f t="shared" si="352"/>
        <v>65.103999999999999</v>
      </c>
      <c r="Z400" s="440">
        <f t="shared" si="352"/>
        <v>198.81</v>
      </c>
      <c r="AA400" s="439">
        <f t="shared" si="352"/>
        <v>99.346000000000004</v>
      </c>
      <c r="AB400" s="439">
        <f t="shared" si="352"/>
        <v>108.441</v>
      </c>
      <c r="AC400" s="439">
        <f t="shared" si="352"/>
        <v>117.10899999999999</v>
      </c>
      <c r="AD400" s="439">
        <f t="shared" si="352"/>
        <v>146.363</v>
      </c>
      <c r="AE400" s="440">
        <f t="shared" si="352"/>
        <v>471.25900000000001</v>
      </c>
      <c r="AF400" s="439">
        <f t="shared" si="352"/>
        <v>149.54599999999999</v>
      </c>
      <c r="AG400" s="439">
        <f t="shared" si="352"/>
        <v>163.58199999999999</v>
      </c>
      <c r="AH400" s="439">
        <f t="shared" si="352"/>
        <v>175.22</v>
      </c>
      <c r="AI400" s="439">
        <f t="shared" si="352"/>
        <v>174.72300000000007</v>
      </c>
      <c r="AJ400" s="440">
        <f t="shared" si="352"/>
        <v>663.07100000000003</v>
      </c>
      <c r="AK400" s="439">
        <f t="shared" si="352"/>
        <v>157.453</v>
      </c>
      <c r="AL400" s="439">
        <f t="shared" si="352"/>
        <v>171.97900000000001</v>
      </c>
      <c r="AM400" s="439">
        <f t="shared" si="352"/>
        <v>185</v>
      </c>
      <c r="AN400" s="439">
        <f t="shared" si="352"/>
        <v>170.56799999999998</v>
      </c>
      <c r="AO400" s="440">
        <f t="shared" si="352"/>
        <v>685</v>
      </c>
      <c r="AP400" s="439">
        <f t="shared" si="352"/>
        <v>169</v>
      </c>
      <c r="AQ400" s="439">
        <f t="shared" si="352"/>
        <v>170</v>
      </c>
      <c r="AR400" s="439">
        <f t="shared" si="352"/>
        <v>163</v>
      </c>
      <c r="AS400" s="439">
        <f t="shared" si="352"/>
        <v>246</v>
      </c>
      <c r="AT400" s="440">
        <f t="shared" si="352"/>
        <v>748</v>
      </c>
      <c r="AU400" s="439">
        <f t="shared" si="352"/>
        <v>99</v>
      </c>
      <c r="AV400" s="439">
        <f t="shared" si="352"/>
        <v>75</v>
      </c>
      <c r="AW400" s="726">
        <f t="shared" si="352"/>
        <v>126</v>
      </c>
      <c r="AX400" s="439">
        <f>AX458</f>
        <v>61.65764383561644</v>
      </c>
      <c r="AY400" s="440">
        <f>SUM(AU400,AV400,AW400,AX400)</f>
        <v>361.65764383561645</v>
      </c>
      <c r="AZ400" s="439">
        <f>AZ458</f>
        <v>60.3172602739726</v>
      </c>
      <c r="BA400" s="439">
        <f>BA458</f>
        <v>60.987452054794524</v>
      </c>
      <c r="BB400" s="439">
        <f>BB458</f>
        <v>61.65764383561644</v>
      </c>
      <c r="BC400" s="439">
        <f>BC458</f>
        <v>61.65764383561644</v>
      </c>
      <c r="BD400" s="440">
        <f>SUM(AZ400,BA400,BB400,BC400)</f>
        <v>244.62</v>
      </c>
      <c r="BE400" s="440">
        <f>BE458</f>
        <v>244.61999999999998</v>
      </c>
      <c r="BF400" s="440">
        <f>BF458</f>
        <v>244.61999999999998</v>
      </c>
      <c r="BG400" s="440">
        <f>BG458</f>
        <v>244.61999999999998</v>
      </c>
      <c r="BH400" s="361"/>
    </row>
    <row r="401" spans="1:60" s="356" customFormat="1" x14ac:dyDescent="0.25">
      <c r="A401" s="526" t="s">
        <v>94</v>
      </c>
      <c r="B401" s="450"/>
      <c r="C401" s="440">
        <f t="shared" ref="C401:AW401" si="353">-C349</f>
        <v>-0.159</v>
      </c>
      <c r="D401" s="440">
        <f t="shared" si="353"/>
        <v>-0.25800000000000001</v>
      </c>
      <c r="E401" s="440">
        <f t="shared" si="353"/>
        <v>-0.255</v>
      </c>
      <c r="F401" s="440">
        <f t="shared" si="353"/>
        <v>-0.28799999999999998</v>
      </c>
      <c r="G401" s="439">
        <f t="shared" si="353"/>
        <v>-0.01</v>
      </c>
      <c r="H401" s="439">
        <f t="shared" si="353"/>
        <v>-3.9E-2</v>
      </c>
      <c r="I401" s="439">
        <f t="shared" si="353"/>
        <v>-6.8000000000000005E-2</v>
      </c>
      <c r="J401" s="439">
        <f t="shared" si="353"/>
        <v>-7.1999999999999995E-2</v>
      </c>
      <c r="K401" s="440">
        <f t="shared" si="353"/>
        <v>-0.189</v>
      </c>
      <c r="L401" s="439">
        <f t="shared" si="353"/>
        <v>-0.14099999999999999</v>
      </c>
      <c r="M401" s="439">
        <f t="shared" si="353"/>
        <v>-0.46700000000000003</v>
      </c>
      <c r="N401" s="439">
        <f t="shared" si="353"/>
        <v>-0.3</v>
      </c>
      <c r="O401" s="439">
        <f t="shared" si="353"/>
        <v>-0.219</v>
      </c>
      <c r="P401" s="440">
        <f t="shared" si="353"/>
        <v>-1.1259999999999999</v>
      </c>
      <c r="Q401" s="439">
        <f t="shared" si="353"/>
        <v>-0.184</v>
      </c>
      <c r="R401" s="439">
        <f t="shared" si="353"/>
        <v>-0.247</v>
      </c>
      <c r="S401" s="439">
        <f t="shared" si="353"/>
        <v>-0.32700000000000001</v>
      </c>
      <c r="T401" s="439">
        <f t="shared" si="353"/>
        <v>-0.75</v>
      </c>
      <c r="U401" s="440">
        <f t="shared" si="353"/>
        <v>-1.508</v>
      </c>
      <c r="V401" s="439">
        <f t="shared" si="353"/>
        <v>-1.2509999999999999</v>
      </c>
      <c r="W401" s="439">
        <f t="shared" si="353"/>
        <v>-2.242</v>
      </c>
      <c r="X401" s="439">
        <f t="shared" si="353"/>
        <v>-2.8580000000000001</v>
      </c>
      <c r="Y401" s="439">
        <f t="shared" si="353"/>
        <v>-2.1789999999999998</v>
      </c>
      <c r="Z401" s="440">
        <f t="shared" si="353"/>
        <v>-8.5299999999999994</v>
      </c>
      <c r="AA401" s="439">
        <f t="shared" si="353"/>
        <v>-3.09</v>
      </c>
      <c r="AB401" s="439">
        <f t="shared" si="353"/>
        <v>-4.7850000000000001</v>
      </c>
      <c r="AC401" s="439">
        <f t="shared" si="353"/>
        <v>-5.5309999999999997</v>
      </c>
      <c r="AD401" s="439">
        <f t="shared" si="353"/>
        <v>-6.28</v>
      </c>
      <c r="AE401" s="440">
        <f t="shared" si="353"/>
        <v>-19.686</v>
      </c>
      <c r="AF401" s="439">
        <f t="shared" si="353"/>
        <v>-5.2140000000000004</v>
      </c>
      <c r="AG401" s="439">
        <f t="shared" si="353"/>
        <v>-5.0640000000000001</v>
      </c>
      <c r="AH401" s="439">
        <f t="shared" si="353"/>
        <v>-6.907</v>
      </c>
      <c r="AI401" s="439">
        <f t="shared" si="353"/>
        <v>-7.347999999999999</v>
      </c>
      <c r="AJ401" s="440">
        <f t="shared" si="353"/>
        <v>-24.533000000000001</v>
      </c>
      <c r="AK401" s="439">
        <f t="shared" si="353"/>
        <v>-8.7620000000000005</v>
      </c>
      <c r="AL401" s="439">
        <f t="shared" si="353"/>
        <v>-10.362</v>
      </c>
      <c r="AM401" s="439">
        <f t="shared" si="353"/>
        <v>-15</v>
      </c>
      <c r="AN401" s="439">
        <f t="shared" si="353"/>
        <v>-9.8759999999999977</v>
      </c>
      <c r="AO401" s="440">
        <f t="shared" si="353"/>
        <v>-44</v>
      </c>
      <c r="AP401" s="439">
        <f t="shared" si="353"/>
        <v>-10</v>
      </c>
      <c r="AQ401" s="439">
        <f t="shared" si="353"/>
        <v>-8</v>
      </c>
      <c r="AR401" s="439">
        <f t="shared" si="353"/>
        <v>-6</v>
      </c>
      <c r="AS401" s="439">
        <f t="shared" si="353"/>
        <v>-6</v>
      </c>
      <c r="AT401" s="440">
        <f t="shared" si="353"/>
        <v>-30</v>
      </c>
      <c r="AU401" s="439">
        <f t="shared" si="353"/>
        <v>-10</v>
      </c>
      <c r="AV401" s="439">
        <f t="shared" si="353"/>
        <v>-11</v>
      </c>
      <c r="AW401" s="726">
        <f t="shared" si="353"/>
        <v>-10</v>
      </c>
      <c r="AX401" s="439">
        <f>-AX460</f>
        <v>-8.2784876712328774</v>
      </c>
      <c r="AY401" s="440">
        <f>SUM(AU401,AV401,AW401,AX401)</f>
        <v>-39.278487671232881</v>
      </c>
      <c r="AZ401" s="439">
        <f ca="1">-AZ460</f>
        <v>-8.6706101379400948</v>
      </c>
      <c r="BA401" s="439">
        <f ca="1">-BA460</f>
        <v>-9.920262351986544</v>
      </c>
      <c r="BB401" s="439">
        <f ca="1">-BB460</f>
        <v>-11.467415341345246</v>
      </c>
      <c r="BC401" s="439">
        <f ca="1">-BC460</f>
        <v>-14.322672876103379</v>
      </c>
      <c r="BD401" s="440">
        <f ca="1">SUM(AZ401,BA401,BB401,BC401)</f>
        <v>-44.380960707375266</v>
      </c>
      <c r="BE401" s="440">
        <f ca="1">-BE460</f>
        <v>-57.754376403223517</v>
      </c>
      <c r="BF401" s="440">
        <f ca="1">-BF460</f>
        <v>-80.664220932189608</v>
      </c>
      <c r="BG401" s="440">
        <f ca="1">-BG460</f>
        <v>-111.31961853992996</v>
      </c>
      <c r="BH401" s="361"/>
    </row>
    <row r="402" spans="1:60" s="356" customFormat="1" x14ac:dyDescent="0.25">
      <c r="A402" s="360" t="s">
        <v>125</v>
      </c>
      <c r="B402" s="450"/>
      <c r="C402" s="35">
        <f t="shared" ref="C402:AV402" si="354">-C351</f>
        <v>1.4450000000000001</v>
      </c>
      <c r="D402" s="35">
        <f t="shared" si="354"/>
        <v>6.5830000000000002</v>
      </c>
      <c r="E402" s="35">
        <f t="shared" si="354"/>
        <v>2.6459999999999999</v>
      </c>
      <c r="F402" s="35">
        <f t="shared" si="354"/>
        <v>1.8280000000000001</v>
      </c>
      <c r="G402" s="361">
        <f t="shared" si="354"/>
        <v>-17.091000000000001</v>
      </c>
      <c r="H402" s="361">
        <f t="shared" si="354"/>
        <v>-1.6679999999999999</v>
      </c>
      <c r="I402" s="361">
        <f t="shared" si="354"/>
        <v>0.74</v>
      </c>
      <c r="J402" s="361">
        <f t="shared" si="354"/>
        <v>-4.5829999999999984</v>
      </c>
      <c r="K402" s="35">
        <f t="shared" si="354"/>
        <v>-22.602</v>
      </c>
      <c r="L402" s="361">
        <f t="shared" si="354"/>
        <v>-6.718</v>
      </c>
      <c r="M402" s="361">
        <f t="shared" si="354"/>
        <v>1.226</v>
      </c>
      <c r="N402" s="361">
        <f t="shared" si="354"/>
        <v>3.09</v>
      </c>
      <c r="O402" s="361">
        <f t="shared" si="354"/>
        <v>0.58799999999999997</v>
      </c>
      <c r="P402" s="35">
        <f t="shared" si="354"/>
        <v>-1.8129999999999999</v>
      </c>
      <c r="Q402" s="361">
        <f t="shared" si="354"/>
        <v>22.305</v>
      </c>
      <c r="R402" s="361">
        <f t="shared" si="354"/>
        <v>-13.233000000000001</v>
      </c>
      <c r="S402" s="361">
        <f t="shared" si="354"/>
        <v>15.430999999999999</v>
      </c>
      <c r="T402" s="361">
        <f t="shared" si="354"/>
        <v>17.149000000000001</v>
      </c>
      <c r="U402" s="35">
        <f t="shared" si="354"/>
        <v>41.652000000000001</v>
      </c>
      <c r="V402" s="361">
        <f t="shared" si="354"/>
        <v>-9.1769999999999996</v>
      </c>
      <c r="W402" s="36">
        <f t="shared" si="354"/>
        <v>7.3730000000000002</v>
      </c>
      <c r="X402" s="36">
        <f t="shared" si="354"/>
        <v>11.756</v>
      </c>
      <c r="Y402" s="361">
        <f t="shared" si="354"/>
        <v>-121.224</v>
      </c>
      <c r="Z402" s="35">
        <f t="shared" si="354"/>
        <v>-111.27200000000001</v>
      </c>
      <c r="AA402" s="361">
        <f t="shared" si="354"/>
        <v>18.097999999999999</v>
      </c>
      <c r="AB402" s="36">
        <f t="shared" si="354"/>
        <v>41.207999999999998</v>
      </c>
      <c r="AC402" s="36">
        <f t="shared" si="354"/>
        <v>24.39</v>
      </c>
      <c r="AD402" s="361">
        <f t="shared" si="354"/>
        <v>41.677</v>
      </c>
      <c r="AE402" s="35">
        <f t="shared" si="354"/>
        <v>125.373</v>
      </c>
      <c r="AF402" s="361">
        <f t="shared" si="354"/>
        <v>37.716000000000001</v>
      </c>
      <c r="AG402" s="36">
        <f t="shared" si="354"/>
        <v>-50.911000000000001</v>
      </c>
      <c r="AH402" s="36">
        <f t="shared" si="354"/>
        <v>-22.876000000000001</v>
      </c>
      <c r="AI402" s="361">
        <f t="shared" si="354"/>
        <v>14.204999999999998</v>
      </c>
      <c r="AJ402" s="35">
        <f t="shared" si="354"/>
        <v>-21.866</v>
      </c>
      <c r="AK402" s="361">
        <f t="shared" si="354"/>
        <v>-25.75</v>
      </c>
      <c r="AL402" s="36">
        <f t="shared" si="354"/>
        <v>40.756</v>
      </c>
      <c r="AM402" s="36">
        <f t="shared" si="354"/>
        <v>-85</v>
      </c>
      <c r="AN402" s="361">
        <f t="shared" si="354"/>
        <v>24.994</v>
      </c>
      <c r="AO402" s="35">
        <f t="shared" si="354"/>
        <v>-45</v>
      </c>
      <c r="AP402" s="361">
        <f t="shared" si="354"/>
        <v>54</v>
      </c>
      <c r="AQ402" s="36">
        <f t="shared" si="354"/>
        <v>15</v>
      </c>
      <c r="AR402" s="36">
        <f t="shared" si="354"/>
        <v>97</v>
      </c>
      <c r="AS402" s="361">
        <f t="shared" si="354"/>
        <v>-44</v>
      </c>
      <c r="AT402" s="35">
        <f t="shared" si="354"/>
        <v>122</v>
      </c>
      <c r="AU402" s="361">
        <f t="shared" si="354"/>
        <v>-28</v>
      </c>
      <c r="AV402" s="36">
        <f t="shared" si="354"/>
        <v>-45</v>
      </c>
      <c r="AW402" s="792">
        <f>-AW351</f>
        <v>6</v>
      </c>
      <c r="AX402" s="441">
        <v>25</v>
      </c>
      <c r="AY402" s="440">
        <f>SUM(AU402,AV402,AW402,AX402)</f>
        <v>-42</v>
      </c>
      <c r="AZ402" s="441">
        <v>25</v>
      </c>
      <c r="BA402" s="441">
        <v>25</v>
      </c>
      <c r="BB402" s="441">
        <v>25</v>
      </c>
      <c r="BC402" s="441">
        <v>25</v>
      </c>
      <c r="BD402" s="440">
        <f>SUM(AZ402,BA402,BB402,BC402)</f>
        <v>100</v>
      </c>
      <c r="BE402" s="1008">
        <v>100</v>
      </c>
      <c r="BF402" s="1008">
        <v>100</v>
      </c>
      <c r="BG402" s="1008">
        <v>100</v>
      </c>
      <c r="BH402" s="361"/>
    </row>
    <row r="403" spans="1:60" s="356" customFormat="1" x14ac:dyDescent="0.25">
      <c r="A403" s="533" t="s">
        <v>126</v>
      </c>
      <c r="B403" s="527"/>
      <c r="C403" s="479"/>
      <c r="D403" s="479"/>
      <c r="E403" s="479"/>
      <c r="F403" s="479"/>
      <c r="G403" s="459"/>
      <c r="H403" s="459"/>
      <c r="I403" s="459"/>
      <c r="J403" s="459"/>
      <c r="K403" s="479"/>
      <c r="L403" s="459"/>
      <c r="M403" s="459"/>
      <c r="N403" s="459"/>
      <c r="O403" s="459"/>
      <c r="P403" s="479"/>
      <c r="Q403" s="459"/>
      <c r="R403" s="459"/>
      <c r="S403" s="459"/>
      <c r="T403" s="459"/>
      <c r="U403" s="479"/>
      <c r="V403" s="459"/>
      <c r="W403" s="459"/>
      <c r="X403" s="459"/>
      <c r="Y403" s="459"/>
      <c r="Z403" s="479"/>
      <c r="AA403" s="459"/>
      <c r="AB403" s="459"/>
      <c r="AC403" s="459"/>
      <c r="AD403" s="459"/>
      <c r="AE403" s="479"/>
      <c r="AF403" s="459"/>
      <c r="AG403" s="459"/>
      <c r="AH403" s="459"/>
      <c r="AI403" s="459"/>
      <c r="AJ403" s="479"/>
      <c r="AK403" s="459"/>
      <c r="AL403" s="459"/>
      <c r="AM403" s="459"/>
      <c r="AN403" s="459"/>
      <c r="AO403" s="479"/>
      <c r="AP403" s="459"/>
      <c r="AQ403" s="459"/>
      <c r="AR403" s="459"/>
      <c r="AS403" s="459"/>
      <c r="AT403" s="479"/>
      <c r="AU403" s="459"/>
      <c r="AV403" s="459"/>
      <c r="AW403" s="723"/>
      <c r="AX403" s="459"/>
      <c r="AY403" s="479">
        <f>SUM(AU403,AV403,AW403,AX403)</f>
        <v>0</v>
      </c>
      <c r="AZ403" s="459"/>
      <c r="BA403" s="459"/>
      <c r="BB403" s="459"/>
      <c r="BC403" s="459"/>
      <c r="BD403" s="479">
        <f>SUM(AZ403,BA403,BB403,BC403)</f>
        <v>0</v>
      </c>
      <c r="BE403" s="479"/>
      <c r="BF403" s="479"/>
      <c r="BG403" s="479"/>
      <c r="BH403" s="361"/>
    </row>
    <row r="404" spans="1:60" s="116" customFormat="1" x14ac:dyDescent="0.25">
      <c r="A404" s="86" t="s">
        <v>127</v>
      </c>
      <c r="B404" s="529"/>
      <c r="C404" s="29">
        <f t="shared" ref="C404:AH404" si="355">C390-SUM(C400:C403)</f>
        <v>-55.714000000000006</v>
      </c>
      <c r="D404" s="29">
        <f t="shared" si="355"/>
        <v>-154.155</v>
      </c>
      <c r="E404" s="29">
        <f t="shared" si="355"/>
        <v>-253.92199999999994</v>
      </c>
      <c r="F404" s="29">
        <f t="shared" si="355"/>
        <v>-396.077</v>
      </c>
      <c r="G404" s="30">
        <f t="shared" si="355"/>
        <v>11.399000000000054</v>
      </c>
      <c r="H404" s="30">
        <f t="shared" si="355"/>
        <v>-30.201000000000001</v>
      </c>
      <c r="I404" s="30">
        <f t="shared" si="355"/>
        <v>-37.718000000000004</v>
      </c>
      <c r="J404" s="30">
        <f t="shared" si="355"/>
        <v>-14.905999999999949</v>
      </c>
      <c r="K404" s="29">
        <f t="shared" si="355"/>
        <v>-71.425999999999902</v>
      </c>
      <c r="L404" s="30">
        <f t="shared" si="355"/>
        <v>-48.991000000000014</v>
      </c>
      <c r="M404" s="30">
        <f t="shared" si="355"/>
        <v>-60.750000000000099</v>
      </c>
      <c r="N404" s="30">
        <f t="shared" si="355"/>
        <v>-70.981000000000023</v>
      </c>
      <c r="O404" s="30">
        <f t="shared" si="355"/>
        <v>-103.91000000000008</v>
      </c>
      <c r="P404" s="29">
        <f t="shared" si="355"/>
        <v>-284.63599999999963</v>
      </c>
      <c r="Q404" s="30">
        <f t="shared" si="355"/>
        <v>-151.14099999999991</v>
      </c>
      <c r="R404" s="30">
        <f t="shared" si="355"/>
        <v>-181.06</v>
      </c>
      <c r="S404" s="30">
        <f t="shared" si="355"/>
        <v>-228.07400000000004</v>
      </c>
      <c r="T404" s="30">
        <f t="shared" si="355"/>
        <v>-315.34899999999993</v>
      </c>
      <c r="U404" s="29">
        <f t="shared" si="355"/>
        <v>-875.62399999999991</v>
      </c>
      <c r="V404" s="30">
        <f t="shared" si="355"/>
        <v>-278.42100000000005</v>
      </c>
      <c r="W404" s="31">
        <f t="shared" si="355"/>
        <v>-289.53899999999999</v>
      </c>
      <c r="X404" s="31">
        <f t="shared" si="355"/>
        <v>30.010999999999726</v>
      </c>
      <c r="Y404" s="30">
        <f t="shared" si="355"/>
        <v>-208.3990000000002</v>
      </c>
      <c r="Z404" s="29">
        <f t="shared" si="355"/>
        <v>-746.34800000000064</v>
      </c>
      <c r="AA404" s="30">
        <f t="shared" si="355"/>
        <v>-371.90299999999996</v>
      </c>
      <c r="AB404" s="31">
        <f t="shared" si="355"/>
        <v>-385.7800000000002</v>
      </c>
      <c r="AC404" s="31">
        <f t="shared" si="355"/>
        <v>-671.44799999999975</v>
      </c>
      <c r="AD404" s="30">
        <f t="shared" si="355"/>
        <v>-779.90100000000075</v>
      </c>
      <c r="AE404" s="29">
        <f t="shared" si="355"/>
        <v>-2209.0319999999992</v>
      </c>
      <c r="AF404" s="30">
        <f t="shared" si="355"/>
        <v>-779.02200000000016</v>
      </c>
      <c r="AG404" s="31">
        <f t="shared" si="355"/>
        <v>-728.99900000000093</v>
      </c>
      <c r="AH404" s="31">
        <f t="shared" si="355"/>
        <v>271.32000000000005</v>
      </c>
      <c r="AI404" s="30">
        <f t="shared" ref="AI404:AY404" si="356">AI390-SUM(AI400:AI403)</f>
        <v>231.95600000000047</v>
      </c>
      <c r="AJ404" s="29">
        <f t="shared" si="356"/>
        <v>-1004.7449999999994</v>
      </c>
      <c r="AK404" s="30">
        <f t="shared" si="356"/>
        <v>-644.77200000000016</v>
      </c>
      <c r="AL404" s="31">
        <f t="shared" si="356"/>
        <v>-369.83100000000059</v>
      </c>
      <c r="AM404" s="31">
        <f t="shared" si="356"/>
        <v>176</v>
      </c>
      <c r="AN404" s="30">
        <f t="shared" si="356"/>
        <v>173.60299999999955</v>
      </c>
      <c r="AO404" s="29">
        <f t="shared" si="356"/>
        <v>-665</v>
      </c>
      <c r="AP404" s="30">
        <f t="shared" si="356"/>
        <v>70</v>
      </c>
      <c r="AQ404" s="31">
        <f t="shared" si="356"/>
        <v>150</v>
      </c>
      <c r="AR404" s="31">
        <f>AR390-SUM(AR400:AR403)</f>
        <v>555</v>
      </c>
      <c r="AS404" s="30">
        <f>AS390-SUM(AS400:AS403)</f>
        <v>379</v>
      </c>
      <c r="AT404" s="29">
        <f>AT390-SUM(AT400:AT403)</f>
        <v>1154</v>
      </c>
      <c r="AU404" s="30">
        <f t="shared" ref="AU404" si="357">AU390-SUM(AU400:AU403)</f>
        <v>533</v>
      </c>
      <c r="AV404" s="31">
        <f>AV390-SUM(AV400:AV403)</f>
        <v>1293</v>
      </c>
      <c r="AW404" s="795">
        <f>AW390-SUM(AW400:AW403)</f>
        <v>1882</v>
      </c>
      <c r="AX404" s="44">
        <f t="shared" si="356"/>
        <v>2235.8779789966652</v>
      </c>
      <c r="AY404" s="45">
        <f t="shared" si="356"/>
        <v>5943.8779789966648</v>
      </c>
      <c r="AZ404" s="44">
        <f t="shared" ref="AZ404:BF404" ca="1" si="358">AZ390-SUM(AZ400:AZ403)</f>
        <v>3083.6299057835599</v>
      </c>
      <c r="BA404" s="44">
        <f t="shared" ca="1" si="358"/>
        <v>3541.6608846603576</v>
      </c>
      <c r="BB404" s="44">
        <f t="shared" ca="1" si="358"/>
        <v>4672.7090807427794</v>
      </c>
      <c r="BC404" s="44">
        <f t="shared" ca="1" si="358"/>
        <v>4575.0752243612342</v>
      </c>
      <c r="BD404" s="45">
        <f t="shared" ca="1" si="358"/>
        <v>15873.075095547931</v>
      </c>
      <c r="BE404" s="45">
        <f t="shared" ca="1" si="358"/>
        <v>19832.082065007176</v>
      </c>
      <c r="BF404" s="45">
        <f t="shared" ca="1" si="358"/>
        <v>24541.354190890412</v>
      </c>
      <c r="BG404" s="45">
        <f ca="1">BG390-SUM(BG400:BG403)</f>
        <v>30160.705749306417</v>
      </c>
      <c r="BH404" s="368"/>
    </row>
    <row r="405" spans="1:60" s="110" customFormat="1" x14ac:dyDescent="0.25">
      <c r="A405" s="669"/>
      <c r="B405" s="670"/>
      <c r="C405" s="1060"/>
      <c r="D405" s="1060"/>
      <c r="E405" s="1060"/>
      <c r="F405" s="1060"/>
      <c r="G405" s="1061"/>
      <c r="H405" s="1061"/>
      <c r="I405" s="1061"/>
      <c r="J405" s="1061"/>
      <c r="K405" s="1060"/>
      <c r="L405" s="1061"/>
      <c r="M405" s="1061"/>
      <c r="N405" s="1061"/>
      <c r="O405" s="1061"/>
      <c r="P405" s="1060"/>
      <c r="Q405" s="1061"/>
      <c r="R405" s="1061"/>
      <c r="S405" s="1061"/>
      <c r="T405" s="1061"/>
      <c r="U405" s="1060"/>
      <c r="V405" s="1061"/>
      <c r="W405" s="1061"/>
      <c r="X405" s="1061"/>
      <c r="Y405" s="1061"/>
      <c r="Z405" s="1060"/>
      <c r="AA405" s="1061"/>
      <c r="AB405" s="1061"/>
      <c r="AC405" s="1061"/>
      <c r="AD405" s="1061"/>
      <c r="AE405" s="1060"/>
      <c r="AF405" s="1061"/>
      <c r="AG405" s="1061"/>
      <c r="AH405" s="1061"/>
      <c r="AI405" s="1061"/>
      <c r="AJ405" s="1060"/>
      <c r="AK405" s="1061"/>
      <c r="AL405" s="1061"/>
      <c r="AM405" s="1061"/>
      <c r="AN405" s="1061"/>
      <c r="AO405" s="1060"/>
      <c r="AP405" s="1061"/>
      <c r="AQ405" s="1061"/>
      <c r="AR405" s="1061"/>
      <c r="AS405" s="1061"/>
      <c r="AT405" s="1060"/>
      <c r="AU405" s="1061"/>
      <c r="AV405" s="1061"/>
      <c r="AW405" s="1062"/>
      <c r="AX405" s="1061"/>
      <c r="AY405" s="1060"/>
      <c r="AZ405" s="1061"/>
      <c r="BA405" s="1061"/>
      <c r="BB405" s="1061"/>
      <c r="BC405" s="1061"/>
      <c r="BD405" s="1060"/>
      <c r="BE405" s="1060"/>
      <c r="BF405" s="1060"/>
      <c r="BG405" s="1060"/>
      <c r="BH405" s="621"/>
    </row>
    <row r="406" spans="1:60" s="356" customFormat="1" x14ac:dyDescent="0.25">
      <c r="A406" s="360" t="s">
        <v>128</v>
      </c>
      <c r="B406" s="450"/>
      <c r="C406" s="35">
        <f t="shared" ref="C406:AW406" si="359">C353</f>
        <v>2.5999999999999999E-2</v>
      </c>
      <c r="D406" s="35">
        <f t="shared" si="359"/>
        <v>0.17299999999999999</v>
      </c>
      <c r="E406" s="35">
        <f t="shared" si="359"/>
        <v>0.48899999999999999</v>
      </c>
      <c r="F406" s="35">
        <f t="shared" si="359"/>
        <v>0.13600000000000001</v>
      </c>
      <c r="G406" s="361">
        <f t="shared" si="359"/>
        <v>0.151</v>
      </c>
      <c r="H406" s="361">
        <f t="shared" si="359"/>
        <v>0.30099999999999999</v>
      </c>
      <c r="I406" s="361">
        <f t="shared" si="359"/>
        <v>0.77800000000000002</v>
      </c>
      <c r="J406" s="361">
        <f t="shared" si="359"/>
        <v>1.3580000000000001</v>
      </c>
      <c r="K406" s="35">
        <f t="shared" si="359"/>
        <v>2.5880000000000001</v>
      </c>
      <c r="L406" s="361">
        <f t="shared" si="359"/>
        <v>0.80900000000000005</v>
      </c>
      <c r="M406" s="361">
        <f t="shared" si="359"/>
        <v>1.1499999999999999</v>
      </c>
      <c r="N406" s="361">
        <f t="shared" si="359"/>
        <v>3.7269999999999999</v>
      </c>
      <c r="O406" s="361">
        <f t="shared" si="359"/>
        <v>3.7189999999999999</v>
      </c>
      <c r="P406" s="35">
        <f t="shared" si="359"/>
        <v>9.4039999999999999</v>
      </c>
      <c r="Q406" s="361">
        <f t="shared" si="359"/>
        <v>3.04</v>
      </c>
      <c r="R406" s="361">
        <f t="shared" si="359"/>
        <v>3.1669999999999998</v>
      </c>
      <c r="S406" s="361">
        <f t="shared" si="359"/>
        <v>1.784</v>
      </c>
      <c r="T406" s="361">
        <f t="shared" si="359"/>
        <v>5.048</v>
      </c>
      <c r="U406" s="35">
        <f t="shared" si="359"/>
        <v>13.039</v>
      </c>
      <c r="V406" s="361">
        <f t="shared" si="359"/>
        <v>3.8460000000000001</v>
      </c>
      <c r="W406" s="36">
        <f t="shared" si="359"/>
        <v>3.649</v>
      </c>
      <c r="X406" s="36">
        <f t="shared" si="359"/>
        <v>8.1329999999999991</v>
      </c>
      <c r="Y406" s="361">
        <f t="shared" si="359"/>
        <v>11.07</v>
      </c>
      <c r="Z406" s="35">
        <f t="shared" si="359"/>
        <v>26.698</v>
      </c>
      <c r="AA406" s="361">
        <f t="shared" si="359"/>
        <v>25.277999999999999</v>
      </c>
      <c r="AB406" s="36">
        <f t="shared" si="359"/>
        <v>15.647</v>
      </c>
      <c r="AC406" s="36">
        <f t="shared" si="359"/>
        <v>-0.28499999999999998</v>
      </c>
      <c r="AD406" s="361">
        <f t="shared" si="359"/>
        <v>-9.0939999999999994</v>
      </c>
      <c r="AE406" s="35">
        <f t="shared" si="359"/>
        <v>31.545999999999999</v>
      </c>
      <c r="AF406" s="361">
        <f t="shared" si="359"/>
        <v>5.6050000000000004</v>
      </c>
      <c r="AG406" s="36">
        <f t="shared" si="359"/>
        <v>13.707000000000001</v>
      </c>
      <c r="AH406" s="36">
        <f t="shared" si="359"/>
        <v>16.646999999999998</v>
      </c>
      <c r="AI406" s="361">
        <f t="shared" si="359"/>
        <v>21.878</v>
      </c>
      <c r="AJ406" s="35">
        <f t="shared" si="359"/>
        <v>57.837000000000003</v>
      </c>
      <c r="AK406" s="361">
        <f t="shared" si="359"/>
        <v>22.873000000000001</v>
      </c>
      <c r="AL406" s="36">
        <f t="shared" si="359"/>
        <v>19.431000000000001</v>
      </c>
      <c r="AM406" s="36">
        <f t="shared" si="359"/>
        <v>26</v>
      </c>
      <c r="AN406" s="361">
        <f t="shared" si="359"/>
        <v>41.695999999999998</v>
      </c>
      <c r="AO406" s="35">
        <f t="shared" si="359"/>
        <v>110</v>
      </c>
      <c r="AP406" s="361">
        <f t="shared" si="359"/>
        <v>2</v>
      </c>
      <c r="AQ406" s="36">
        <f t="shared" si="359"/>
        <v>21</v>
      </c>
      <c r="AR406" s="36">
        <f t="shared" si="359"/>
        <v>186</v>
      </c>
      <c r="AS406" s="361">
        <f t="shared" si="359"/>
        <v>83</v>
      </c>
      <c r="AT406" s="35">
        <f t="shared" si="359"/>
        <v>292</v>
      </c>
      <c r="AU406" s="361">
        <f t="shared" si="359"/>
        <v>69</v>
      </c>
      <c r="AV406" s="36">
        <f t="shared" si="359"/>
        <v>115</v>
      </c>
      <c r="AW406" s="792">
        <f t="shared" si="359"/>
        <v>223</v>
      </c>
      <c r="AX406" s="439">
        <f>AX419*AX$404</f>
        <v>469.53437558929966</v>
      </c>
      <c r="AY406" s="440">
        <f>SUM(AU406,AV406,AW406,AX406)</f>
        <v>876.53437558929966</v>
      </c>
      <c r="AZ406" s="439">
        <f t="shared" ref="AZ406:BC407" ca="1" si="360">AZ419*AZ$404</f>
        <v>647.56228021454751</v>
      </c>
      <c r="BA406" s="439">
        <f t="shared" ca="1" si="360"/>
        <v>743.74878577867503</v>
      </c>
      <c r="BB406" s="439">
        <f t="shared" ca="1" si="360"/>
        <v>981.26890695598365</v>
      </c>
      <c r="BC406" s="439">
        <f t="shared" ca="1" si="360"/>
        <v>960.76579711585919</v>
      </c>
      <c r="BD406" s="440">
        <f ca="1">SUM(AZ406,BA406,BB406,BC406)</f>
        <v>3333.3457700650656</v>
      </c>
      <c r="BE406" s="440">
        <f ca="1">BE419*BE404</f>
        <v>4164.7372336515073</v>
      </c>
      <c r="BF406" s="440">
        <f ca="1">BF419*BF404</f>
        <v>5153.6843800869865</v>
      </c>
      <c r="BG406" s="440">
        <f ca="1">BG419*BG404</f>
        <v>6333.748207354347</v>
      </c>
      <c r="BH406" s="361"/>
    </row>
    <row r="407" spans="1:60" s="356" customFormat="1" x14ac:dyDescent="0.25">
      <c r="A407" s="533" t="s">
        <v>129</v>
      </c>
      <c r="B407" s="527"/>
      <c r="C407" s="479"/>
      <c r="D407" s="479"/>
      <c r="E407" s="479"/>
      <c r="F407" s="479"/>
      <c r="G407" s="459"/>
      <c r="H407" s="459"/>
      <c r="I407" s="459"/>
      <c r="J407" s="459"/>
      <c r="K407" s="479"/>
      <c r="L407" s="459"/>
      <c r="M407" s="459"/>
      <c r="N407" s="459"/>
      <c r="O407" s="459"/>
      <c r="P407" s="479"/>
      <c r="Q407" s="459"/>
      <c r="R407" s="459"/>
      <c r="S407" s="459"/>
      <c r="T407" s="459"/>
      <c r="U407" s="479"/>
      <c r="V407" s="459"/>
      <c r="W407" s="459"/>
      <c r="X407" s="459"/>
      <c r="Y407" s="459"/>
      <c r="Z407" s="479"/>
      <c r="AA407" s="459"/>
      <c r="AB407" s="459"/>
      <c r="AC407" s="459"/>
      <c r="AD407" s="459"/>
      <c r="AE407" s="479"/>
      <c r="AF407" s="459"/>
      <c r="AG407" s="459"/>
      <c r="AH407" s="459"/>
      <c r="AI407" s="459"/>
      <c r="AJ407" s="479"/>
      <c r="AK407" s="459"/>
      <c r="AL407" s="459"/>
      <c r="AM407" s="459"/>
      <c r="AN407" s="459"/>
      <c r="AO407" s="479"/>
      <c r="AP407" s="459"/>
      <c r="AQ407" s="459"/>
      <c r="AR407" s="459"/>
      <c r="AS407" s="459"/>
      <c r="AT407" s="479"/>
      <c r="AU407" s="459"/>
      <c r="AV407" s="459"/>
      <c r="AW407" s="723"/>
      <c r="AX407" s="459">
        <f>AX420*AX$404</f>
        <v>0</v>
      </c>
      <c r="AY407" s="479">
        <f>SUM(AU407,AV407,AW407,AX407)</f>
        <v>0</v>
      </c>
      <c r="AZ407" s="459">
        <f t="shared" ca="1" si="360"/>
        <v>0</v>
      </c>
      <c r="BA407" s="459">
        <f t="shared" ca="1" si="360"/>
        <v>0</v>
      </c>
      <c r="BB407" s="459">
        <f t="shared" ca="1" si="360"/>
        <v>0</v>
      </c>
      <c r="BC407" s="459">
        <f t="shared" ca="1" si="360"/>
        <v>0</v>
      </c>
      <c r="BD407" s="479">
        <f ca="1">SUM(AZ407,BA407,BB407,BC407)</f>
        <v>0</v>
      </c>
      <c r="BE407" s="479">
        <f ca="1">BE420*BE404</f>
        <v>0</v>
      </c>
      <c r="BF407" s="479">
        <f ca="1">BF420*BF404</f>
        <v>0</v>
      </c>
      <c r="BG407" s="479">
        <f ca="1">BG420*BG404</f>
        <v>0</v>
      </c>
      <c r="BH407" s="361"/>
    </row>
    <row r="408" spans="1:60" s="116" customFormat="1" x14ac:dyDescent="0.25">
      <c r="A408" s="86" t="s">
        <v>130</v>
      </c>
      <c r="B408" s="529"/>
      <c r="C408" s="29">
        <f t="shared" ref="C408:AH408" si="361">C404-SUM(C406:C407)</f>
        <v>-55.740000000000009</v>
      </c>
      <c r="D408" s="29">
        <f t="shared" si="361"/>
        <v>-154.328</v>
      </c>
      <c r="E408" s="29">
        <f t="shared" si="361"/>
        <v>-254.41099999999994</v>
      </c>
      <c r="F408" s="29">
        <f t="shared" si="361"/>
        <v>-396.21300000000002</v>
      </c>
      <c r="G408" s="30">
        <f t="shared" si="361"/>
        <v>11.248000000000054</v>
      </c>
      <c r="H408" s="30">
        <f t="shared" si="361"/>
        <v>-30.501999999999999</v>
      </c>
      <c r="I408" s="30">
        <f t="shared" si="361"/>
        <v>-38.496000000000002</v>
      </c>
      <c r="J408" s="30">
        <f t="shared" si="361"/>
        <v>-16.26399999999995</v>
      </c>
      <c r="K408" s="29">
        <f t="shared" si="361"/>
        <v>-74.013999999999896</v>
      </c>
      <c r="L408" s="30">
        <f t="shared" si="361"/>
        <v>-49.800000000000011</v>
      </c>
      <c r="M408" s="30">
        <f t="shared" si="361"/>
        <v>-61.900000000000098</v>
      </c>
      <c r="N408" s="30">
        <f t="shared" si="361"/>
        <v>-74.708000000000027</v>
      </c>
      <c r="O408" s="30">
        <f t="shared" si="361"/>
        <v>-107.62900000000008</v>
      </c>
      <c r="P408" s="29">
        <f t="shared" si="361"/>
        <v>-294.03999999999962</v>
      </c>
      <c r="Q408" s="30">
        <f t="shared" si="361"/>
        <v>-154.1809999999999</v>
      </c>
      <c r="R408" s="30">
        <f t="shared" si="361"/>
        <v>-184.227</v>
      </c>
      <c r="S408" s="30">
        <f t="shared" si="361"/>
        <v>-229.85800000000003</v>
      </c>
      <c r="T408" s="30">
        <f t="shared" si="361"/>
        <v>-320.39699999999993</v>
      </c>
      <c r="U408" s="29">
        <f t="shared" si="361"/>
        <v>-888.6629999999999</v>
      </c>
      <c r="V408" s="30">
        <f t="shared" si="361"/>
        <v>-282.26700000000005</v>
      </c>
      <c r="W408" s="31">
        <f t="shared" si="361"/>
        <v>-293.18799999999999</v>
      </c>
      <c r="X408" s="31">
        <f t="shared" si="361"/>
        <v>21.877999999999727</v>
      </c>
      <c r="Y408" s="30">
        <f t="shared" si="361"/>
        <v>-219.46900000000019</v>
      </c>
      <c r="Z408" s="29">
        <f t="shared" si="361"/>
        <v>-773.04600000000062</v>
      </c>
      <c r="AA408" s="30">
        <f t="shared" si="361"/>
        <v>-397.18099999999998</v>
      </c>
      <c r="AB408" s="31">
        <f t="shared" si="361"/>
        <v>-401.42700000000019</v>
      </c>
      <c r="AC408" s="31">
        <f t="shared" si="361"/>
        <v>-671.16299999999978</v>
      </c>
      <c r="AD408" s="30">
        <f t="shared" si="361"/>
        <v>-770.8070000000007</v>
      </c>
      <c r="AE408" s="29">
        <f t="shared" si="361"/>
        <v>-2240.5779999999991</v>
      </c>
      <c r="AF408" s="30">
        <f t="shared" si="361"/>
        <v>-784.62700000000018</v>
      </c>
      <c r="AG408" s="31">
        <f t="shared" si="361"/>
        <v>-742.70600000000093</v>
      </c>
      <c r="AH408" s="31">
        <f t="shared" si="361"/>
        <v>254.67300000000006</v>
      </c>
      <c r="AI408" s="30">
        <f t="shared" ref="AI408:AY408" si="362">AI404-SUM(AI406:AI407)</f>
        <v>210.07800000000049</v>
      </c>
      <c r="AJ408" s="29">
        <f t="shared" si="362"/>
        <v>-1062.5819999999994</v>
      </c>
      <c r="AK408" s="30">
        <f t="shared" si="362"/>
        <v>-667.64500000000021</v>
      </c>
      <c r="AL408" s="31">
        <f t="shared" si="362"/>
        <v>-389.26200000000057</v>
      </c>
      <c r="AM408" s="31">
        <f t="shared" si="362"/>
        <v>150</v>
      </c>
      <c r="AN408" s="30">
        <f t="shared" si="362"/>
        <v>131.90699999999956</v>
      </c>
      <c r="AO408" s="29">
        <f t="shared" si="362"/>
        <v>-775</v>
      </c>
      <c r="AP408" s="30">
        <f t="shared" si="362"/>
        <v>68</v>
      </c>
      <c r="AQ408" s="31">
        <f t="shared" si="362"/>
        <v>129</v>
      </c>
      <c r="AR408" s="31">
        <f>AR404-SUM(AR406:AR407)</f>
        <v>369</v>
      </c>
      <c r="AS408" s="30">
        <f>AS404-SUM(AS406:AS407)</f>
        <v>296</v>
      </c>
      <c r="AT408" s="29">
        <f>AT404-SUM(AT406:AT407)</f>
        <v>862</v>
      </c>
      <c r="AU408" s="30">
        <f t="shared" ref="AU408" si="363">AU404-SUM(AU406:AU407)</f>
        <v>464</v>
      </c>
      <c r="AV408" s="31">
        <f>AV404-SUM(AV406:AV407)</f>
        <v>1178</v>
      </c>
      <c r="AW408" s="795">
        <f>AW404-SUM(AW406:AW407)</f>
        <v>1659</v>
      </c>
      <c r="AX408" s="44">
        <f t="shared" si="362"/>
        <v>1766.3436034073657</v>
      </c>
      <c r="AY408" s="45">
        <f t="shared" si="362"/>
        <v>5067.3436034073648</v>
      </c>
      <c r="AZ408" s="44">
        <f t="shared" ref="AZ408:BF408" ca="1" si="364">AZ404-SUM(AZ406:AZ407)</f>
        <v>2436.0676255690123</v>
      </c>
      <c r="BA408" s="44">
        <f t="shared" ca="1" si="364"/>
        <v>2797.9120988816826</v>
      </c>
      <c r="BB408" s="44">
        <f t="shared" ca="1" si="364"/>
        <v>3691.4401737867956</v>
      </c>
      <c r="BC408" s="44">
        <f t="shared" ca="1" si="364"/>
        <v>3614.309427245375</v>
      </c>
      <c r="BD408" s="45">
        <f t="shared" ca="1" si="364"/>
        <v>12539.729325482866</v>
      </c>
      <c r="BE408" s="45">
        <f t="shared" ca="1" si="364"/>
        <v>15667.344831355669</v>
      </c>
      <c r="BF408" s="45">
        <f t="shared" ca="1" si="364"/>
        <v>19387.669810803425</v>
      </c>
      <c r="BG408" s="45">
        <f ca="1">BG404-SUM(BG406:BG407)</f>
        <v>23826.95754195207</v>
      </c>
      <c r="BH408" s="368"/>
    </row>
    <row r="409" spans="1:60" s="356" customFormat="1" x14ac:dyDescent="0.25">
      <c r="A409" s="360" t="s">
        <v>131</v>
      </c>
      <c r="B409" s="450"/>
      <c r="C409" s="440"/>
      <c r="D409" s="440"/>
      <c r="E409" s="440"/>
      <c r="F409" s="440"/>
      <c r="G409" s="439"/>
      <c r="H409" s="439"/>
      <c r="I409" s="439"/>
      <c r="J409" s="439"/>
      <c r="K409" s="440"/>
      <c r="L409" s="439"/>
      <c r="M409" s="439"/>
      <c r="N409" s="439"/>
      <c r="O409" s="439"/>
      <c r="P409" s="440"/>
      <c r="Q409" s="439"/>
      <c r="R409" s="439"/>
      <c r="S409" s="439"/>
      <c r="T409" s="439"/>
      <c r="U409" s="440"/>
      <c r="V409" s="439"/>
      <c r="W409" s="439"/>
      <c r="X409" s="439"/>
      <c r="Y409" s="439"/>
      <c r="Z409" s="440"/>
      <c r="AA409" s="439"/>
      <c r="AB409" s="439"/>
      <c r="AC409" s="439"/>
      <c r="AD409" s="439"/>
      <c r="AE409" s="440"/>
      <c r="AF409" s="439"/>
      <c r="AG409" s="439"/>
      <c r="AH409" s="439"/>
      <c r="AI409" s="439"/>
      <c r="AJ409" s="440"/>
      <c r="AK409" s="439"/>
      <c r="AL409" s="439"/>
      <c r="AM409" s="439"/>
      <c r="AN409" s="439"/>
      <c r="AO409" s="440"/>
      <c r="AP409" s="439"/>
      <c r="AQ409" s="439"/>
      <c r="AR409" s="439"/>
      <c r="AS409" s="439"/>
      <c r="AT409" s="440"/>
      <c r="AU409" s="439"/>
      <c r="AV409" s="439"/>
      <c r="AW409" s="726"/>
      <c r="AX409" s="439"/>
      <c r="AY409" s="440">
        <f>SUM(AU409,AV409,AW409,AX409)</f>
        <v>0</v>
      </c>
      <c r="AZ409" s="439"/>
      <c r="BA409" s="439"/>
      <c r="BB409" s="439"/>
      <c r="BC409" s="439"/>
      <c r="BD409" s="440">
        <f>SUM(AZ409,BA409,BB409,BC409)</f>
        <v>0</v>
      </c>
      <c r="BE409" s="440"/>
      <c r="BF409" s="440"/>
      <c r="BG409" s="440"/>
      <c r="BH409" s="361"/>
    </row>
    <row r="410" spans="1:60" s="356" customFormat="1" x14ac:dyDescent="0.25">
      <c r="A410" s="360" t="s">
        <v>132</v>
      </c>
      <c r="B410" s="450"/>
      <c r="C410" s="35">
        <f t="shared" ref="C410:AW410" si="365">C355</f>
        <v>0</v>
      </c>
      <c r="D410" s="35">
        <f t="shared" si="365"/>
        <v>0</v>
      </c>
      <c r="E410" s="35">
        <f t="shared" si="365"/>
        <v>0</v>
      </c>
      <c r="F410" s="35">
        <f t="shared" si="365"/>
        <v>0</v>
      </c>
      <c r="G410" s="361">
        <f t="shared" si="365"/>
        <v>0</v>
      </c>
      <c r="H410" s="361">
        <f t="shared" si="365"/>
        <v>0</v>
      </c>
      <c r="I410" s="361">
        <f t="shared" si="365"/>
        <v>0</v>
      </c>
      <c r="J410" s="361">
        <f t="shared" si="365"/>
        <v>0</v>
      </c>
      <c r="K410" s="35">
        <f t="shared" si="365"/>
        <v>0</v>
      </c>
      <c r="L410" s="361">
        <f t="shared" si="365"/>
        <v>0</v>
      </c>
      <c r="M410" s="361">
        <f t="shared" si="365"/>
        <v>0</v>
      </c>
      <c r="N410" s="361">
        <f t="shared" si="365"/>
        <v>0</v>
      </c>
      <c r="O410" s="361">
        <f t="shared" si="365"/>
        <v>0</v>
      </c>
      <c r="P410" s="35">
        <f t="shared" si="365"/>
        <v>0</v>
      </c>
      <c r="Q410" s="361">
        <f t="shared" si="365"/>
        <v>0</v>
      </c>
      <c r="R410" s="361">
        <f t="shared" si="365"/>
        <v>0</v>
      </c>
      <c r="S410" s="361">
        <f t="shared" si="365"/>
        <v>0</v>
      </c>
      <c r="T410" s="361">
        <f t="shared" si="365"/>
        <v>0</v>
      </c>
      <c r="U410" s="35">
        <f t="shared" si="365"/>
        <v>0</v>
      </c>
      <c r="V410" s="361">
        <f t="shared" si="365"/>
        <v>0</v>
      </c>
      <c r="W410" s="36">
        <f t="shared" si="365"/>
        <v>0</v>
      </c>
      <c r="X410" s="36">
        <f t="shared" si="365"/>
        <v>0</v>
      </c>
      <c r="Y410" s="361">
        <f t="shared" si="365"/>
        <v>-98.132000000000005</v>
      </c>
      <c r="Z410" s="35">
        <f t="shared" si="365"/>
        <v>-98.132000000000005</v>
      </c>
      <c r="AA410" s="361">
        <f t="shared" si="365"/>
        <v>-66.903999999999996</v>
      </c>
      <c r="AB410" s="36">
        <f t="shared" si="365"/>
        <v>-65.03</v>
      </c>
      <c r="AC410" s="36">
        <f t="shared" si="365"/>
        <v>-51.786999999999999</v>
      </c>
      <c r="AD410" s="361">
        <f t="shared" si="365"/>
        <v>-95.456999999999994</v>
      </c>
      <c r="AE410" s="35">
        <f t="shared" si="365"/>
        <v>-279.178</v>
      </c>
      <c r="AF410" s="361">
        <f t="shared" si="365"/>
        <v>-75.075999999999993</v>
      </c>
      <c r="AG410" s="36">
        <f t="shared" si="365"/>
        <v>-25.167000000000002</v>
      </c>
      <c r="AH410" s="36">
        <f t="shared" si="365"/>
        <v>-56.843000000000004</v>
      </c>
      <c r="AI410" s="361">
        <f t="shared" si="365"/>
        <v>70.595000000000013</v>
      </c>
      <c r="AJ410" s="35">
        <f t="shared" si="365"/>
        <v>-86.491</v>
      </c>
      <c r="AK410" s="361">
        <f t="shared" si="365"/>
        <v>34.49</v>
      </c>
      <c r="AL410" s="36">
        <f t="shared" si="365"/>
        <v>19.071999999999999</v>
      </c>
      <c r="AM410" s="36">
        <f t="shared" si="365"/>
        <v>7</v>
      </c>
      <c r="AN410" s="361">
        <f t="shared" si="365"/>
        <v>26.438000000000002</v>
      </c>
      <c r="AO410" s="35">
        <f t="shared" si="365"/>
        <v>87</v>
      </c>
      <c r="AP410" s="361">
        <f t="shared" si="365"/>
        <v>52</v>
      </c>
      <c r="AQ410" s="36">
        <f t="shared" si="365"/>
        <v>25</v>
      </c>
      <c r="AR410" s="36">
        <f t="shared" si="365"/>
        <v>38</v>
      </c>
      <c r="AS410" s="361">
        <f t="shared" si="365"/>
        <v>26</v>
      </c>
      <c r="AT410" s="35">
        <f t="shared" si="365"/>
        <v>141</v>
      </c>
      <c r="AU410" s="361">
        <f t="shared" si="365"/>
        <v>26</v>
      </c>
      <c r="AV410" s="36">
        <f t="shared" si="365"/>
        <v>36</v>
      </c>
      <c r="AW410" s="792">
        <f t="shared" si="365"/>
        <v>41</v>
      </c>
      <c r="AX410" s="441">
        <v>50</v>
      </c>
      <c r="AY410" s="440">
        <f>SUM(AU410,AV410,AW410,AX410)</f>
        <v>153</v>
      </c>
      <c r="AZ410" s="441">
        <v>50</v>
      </c>
      <c r="BA410" s="441">
        <v>50</v>
      </c>
      <c r="BB410" s="441">
        <v>50</v>
      </c>
      <c r="BC410" s="441">
        <v>50</v>
      </c>
      <c r="BD410" s="440">
        <f>SUM(AZ410,BA410,BB410,BC410)</f>
        <v>200</v>
      </c>
      <c r="BE410" s="1008">
        <v>200</v>
      </c>
      <c r="BF410" s="1008">
        <v>200</v>
      </c>
      <c r="BG410" s="1008">
        <v>200</v>
      </c>
      <c r="BH410" s="361"/>
    </row>
    <row r="411" spans="1:60" s="356" customFormat="1" x14ac:dyDescent="0.25">
      <c r="A411" s="533" t="s">
        <v>467</v>
      </c>
      <c r="B411" s="527"/>
      <c r="C411" s="479"/>
      <c r="D411" s="479"/>
      <c r="E411" s="479"/>
      <c r="F411" s="479"/>
      <c r="G411" s="459"/>
      <c r="H411" s="459"/>
      <c r="I411" s="459"/>
      <c r="J411" s="459"/>
      <c r="K411" s="479"/>
      <c r="L411" s="459"/>
      <c r="M411" s="459"/>
      <c r="N411" s="459"/>
      <c r="O411" s="459"/>
      <c r="P411" s="479"/>
      <c r="Q411" s="459"/>
      <c r="R411" s="459"/>
      <c r="S411" s="459"/>
      <c r="T411" s="459"/>
      <c r="U411" s="479"/>
      <c r="V411" s="459"/>
      <c r="W411" s="459"/>
      <c r="X411" s="459"/>
      <c r="Y411" s="459"/>
      <c r="Z411" s="479"/>
      <c r="AA411" s="459"/>
      <c r="AB411" s="459"/>
      <c r="AC411" s="459"/>
      <c r="AD411" s="459"/>
      <c r="AE411" s="479"/>
      <c r="AF411" s="459"/>
      <c r="AG411" s="459"/>
      <c r="AH411" s="459"/>
      <c r="AI411" s="459"/>
      <c r="AJ411" s="479">
        <f t="shared" ref="AJ411:AW411" si="366">-AJ376</f>
        <v>0</v>
      </c>
      <c r="AK411" s="262">
        <f t="shared" si="366"/>
        <v>7.6</v>
      </c>
      <c r="AL411" s="263">
        <f t="shared" si="366"/>
        <v>0</v>
      </c>
      <c r="AM411" s="263">
        <f t="shared" si="366"/>
        <v>0</v>
      </c>
      <c r="AN411" s="262">
        <f t="shared" si="366"/>
        <v>0.40000000000000036</v>
      </c>
      <c r="AO411" s="261">
        <f t="shared" si="366"/>
        <v>8</v>
      </c>
      <c r="AP411" s="262">
        <f t="shared" si="366"/>
        <v>0</v>
      </c>
      <c r="AQ411" s="263">
        <f t="shared" si="366"/>
        <v>0</v>
      </c>
      <c r="AR411" s="263">
        <f t="shared" si="366"/>
        <v>31</v>
      </c>
      <c r="AS411" s="262">
        <f t="shared" si="366"/>
        <v>0</v>
      </c>
      <c r="AT411" s="261">
        <f t="shared" si="366"/>
        <v>31</v>
      </c>
      <c r="AU411" s="262">
        <f t="shared" si="366"/>
        <v>0</v>
      </c>
      <c r="AV411" s="263">
        <f t="shared" si="366"/>
        <v>0</v>
      </c>
      <c r="AW411" s="794">
        <f t="shared" si="366"/>
        <v>0</v>
      </c>
      <c r="AX411" s="459"/>
      <c r="AY411" s="479">
        <f>SUM(AU411,AV411,AW411,AX411)</f>
        <v>0</v>
      </c>
      <c r="AZ411" s="459"/>
      <c r="BA411" s="459"/>
      <c r="BB411" s="459"/>
      <c r="BC411" s="459"/>
      <c r="BD411" s="479">
        <f>SUM(AZ411,BA411,BB411,BC411)</f>
        <v>0</v>
      </c>
      <c r="BE411" s="479"/>
      <c r="BF411" s="479"/>
      <c r="BG411" s="479"/>
      <c r="BH411" s="361"/>
    </row>
    <row r="412" spans="1:60" s="116" customFormat="1" x14ac:dyDescent="0.25">
      <c r="A412" s="86" t="s">
        <v>133</v>
      </c>
      <c r="B412" s="529"/>
      <c r="C412" s="29">
        <f t="shared" ref="C412:AH412" si="367">C408-SUM(C409:C411)</f>
        <v>-55.740000000000009</v>
      </c>
      <c r="D412" s="29">
        <f t="shared" si="367"/>
        <v>-154.328</v>
      </c>
      <c r="E412" s="29">
        <f t="shared" si="367"/>
        <v>-254.41099999999994</v>
      </c>
      <c r="F412" s="29">
        <f t="shared" si="367"/>
        <v>-396.21300000000002</v>
      </c>
      <c r="G412" s="30">
        <f t="shared" si="367"/>
        <v>11.248000000000054</v>
      </c>
      <c r="H412" s="30">
        <f t="shared" si="367"/>
        <v>-30.501999999999999</v>
      </c>
      <c r="I412" s="30">
        <f t="shared" si="367"/>
        <v>-38.496000000000002</v>
      </c>
      <c r="J412" s="30">
        <f t="shared" si="367"/>
        <v>-16.26399999999995</v>
      </c>
      <c r="K412" s="29">
        <f t="shared" si="367"/>
        <v>-74.013999999999896</v>
      </c>
      <c r="L412" s="30">
        <f t="shared" si="367"/>
        <v>-49.800000000000011</v>
      </c>
      <c r="M412" s="30">
        <f t="shared" si="367"/>
        <v>-61.900000000000098</v>
      </c>
      <c r="N412" s="30">
        <f t="shared" si="367"/>
        <v>-74.708000000000027</v>
      </c>
      <c r="O412" s="30">
        <f t="shared" si="367"/>
        <v>-107.62900000000008</v>
      </c>
      <c r="P412" s="29">
        <f t="shared" si="367"/>
        <v>-294.03999999999962</v>
      </c>
      <c r="Q412" s="30">
        <f t="shared" si="367"/>
        <v>-154.1809999999999</v>
      </c>
      <c r="R412" s="30">
        <f t="shared" si="367"/>
        <v>-184.227</v>
      </c>
      <c r="S412" s="30">
        <f t="shared" si="367"/>
        <v>-229.85800000000003</v>
      </c>
      <c r="T412" s="30">
        <f t="shared" si="367"/>
        <v>-320.39699999999993</v>
      </c>
      <c r="U412" s="29">
        <f t="shared" si="367"/>
        <v>-888.6629999999999</v>
      </c>
      <c r="V412" s="30">
        <f t="shared" si="367"/>
        <v>-282.26700000000005</v>
      </c>
      <c r="W412" s="31">
        <f t="shared" si="367"/>
        <v>-293.18799999999999</v>
      </c>
      <c r="X412" s="31">
        <f t="shared" si="367"/>
        <v>21.877999999999727</v>
      </c>
      <c r="Y412" s="30">
        <f t="shared" si="367"/>
        <v>-121.33700000000019</v>
      </c>
      <c r="Z412" s="29">
        <f t="shared" si="367"/>
        <v>-674.91400000000067</v>
      </c>
      <c r="AA412" s="30">
        <f t="shared" si="367"/>
        <v>-330.27699999999999</v>
      </c>
      <c r="AB412" s="31">
        <f t="shared" si="367"/>
        <v>-336.39700000000016</v>
      </c>
      <c r="AC412" s="31">
        <f t="shared" si="367"/>
        <v>-619.37599999999975</v>
      </c>
      <c r="AD412" s="30">
        <f t="shared" si="367"/>
        <v>-675.3500000000007</v>
      </c>
      <c r="AE412" s="29">
        <f t="shared" si="367"/>
        <v>-1961.3999999999992</v>
      </c>
      <c r="AF412" s="30">
        <f t="shared" si="367"/>
        <v>-709.55100000000016</v>
      </c>
      <c r="AG412" s="31">
        <f t="shared" si="367"/>
        <v>-717.5390000000009</v>
      </c>
      <c r="AH412" s="31">
        <f t="shared" si="367"/>
        <v>311.51600000000008</v>
      </c>
      <c r="AI412" s="30">
        <f t="shared" ref="AI412:AY412" si="368">AI408-SUM(AI409:AI411)</f>
        <v>139.48300000000046</v>
      </c>
      <c r="AJ412" s="29">
        <f t="shared" si="368"/>
        <v>-976.09099999999944</v>
      </c>
      <c r="AK412" s="30">
        <f t="shared" si="368"/>
        <v>-709.73500000000024</v>
      </c>
      <c r="AL412" s="31">
        <f t="shared" si="368"/>
        <v>-408.33400000000057</v>
      </c>
      <c r="AM412" s="31">
        <f t="shared" si="368"/>
        <v>143</v>
      </c>
      <c r="AN412" s="30">
        <f t="shared" si="368"/>
        <v>105.06899999999956</v>
      </c>
      <c r="AO412" s="29">
        <f t="shared" si="368"/>
        <v>-870</v>
      </c>
      <c r="AP412" s="30">
        <f t="shared" si="368"/>
        <v>16</v>
      </c>
      <c r="AQ412" s="31">
        <f t="shared" si="368"/>
        <v>104</v>
      </c>
      <c r="AR412" s="31">
        <f>AR408-SUM(AR409:AR411)</f>
        <v>300</v>
      </c>
      <c r="AS412" s="30">
        <f>AS408-SUM(AS409:AS411)</f>
        <v>270</v>
      </c>
      <c r="AT412" s="29">
        <f>AT408-SUM(AT409:AT411)</f>
        <v>690</v>
      </c>
      <c r="AU412" s="30">
        <f t="shared" ref="AU412" si="369">AU408-SUM(AU409:AU411)</f>
        <v>438</v>
      </c>
      <c r="AV412" s="31">
        <f>AV408-SUM(AV409:AV411)</f>
        <v>1142</v>
      </c>
      <c r="AW412" s="795">
        <f>AW408-SUM(AW409:AW411)</f>
        <v>1618</v>
      </c>
      <c r="AX412" s="44">
        <f t="shared" si="368"/>
        <v>1716.3436034073657</v>
      </c>
      <c r="AY412" s="45">
        <f t="shared" si="368"/>
        <v>4914.3436034073648</v>
      </c>
      <c r="AZ412" s="44">
        <f t="shared" ref="AZ412:BF412" ca="1" si="370">AZ408-SUM(AZ409:AZ411)</f>
        <v>2386.0676255690123</v>
      </c>
      <c r="BA412" s="44">
        <f t="shared" ca="1" si="370"/>
        <v>2747.9120988816826</v>
      </c>
      <c r="BB412" s="44">
        <f t="shared" ca="1" si="370"/>
        <v>3641.4401737867956</v>
      </c>
      <c r="BC412" s="44">
        <f t="shared" ca="1" si="370"/>
        <v>3564.309427245375</v>
      </c>
      <c r="BD412" s="45">
        <f t="shared" ca="1" si="370"/>
        <v>12339.729325482866</v>
      </c>
      <c r="BE412" s="45">
        <f t="shared" ca="1" si="370"/>
        <v>15467.344831355669</v>
      </c>
      <c r="BF412" s="45">
        <f t="shared" ca="1" si="370"/>
        <v>19187.669810803425</v>
      </c>
      <c r="BG412" s="45">
        <f ca="1">BG408-SUM(BG409:BG411)</f>
        <v>23626.95754195207</v>
      </c>
      <c r="BH412" s="368"/>
    </row>
    <row r="413" spans="1:60" s="356" customFormat="1" x14ac:dyDescent="0.25">
      <c r="A413" s="540" t="s">
        <v>134</v>
      </c>
      <c r="B413" s="661"/>
      <c r="C413" s="551"/>
      <c r="D413" s="551"/>
      <c r="E413" s="551"/>
      <c r="F413" s="551"/>
      <c r="G413" s="629"/>
      <c r="H413" s="629"/>
      <c r="I413" s="629"/>
      <c r="J413" s="629"/>
      <c r="K413" s="551"/>
      <c r="L413" s="629"/>
      <c r="M413" s="629"/>
      <c r="N413" s="629"/>
      <c r="O413" s="629"/>
      <c r="P413" s="551"/>
      <c r="Q413" s="629"/>
      <c r="R413" s="629"/>
      <c r="S413" s="629"/>
      <c r="T413" s="629"/>
      <c r="U413" s="551"/>
      <c r="V413" s="629"/>
      <c r="W413" s="629"/>
      <c r="X413" s="629"/>
      <c r="Y413" s="629"/>
      <c r="Z413" s="551"/>
      <c r="AA413" s="629"/>
      <c r="AB413" s="629"/>
      <c r="AC413" s="629"/>
      <c r="AD413" s="629"/>
      <c r="AE413" s="551"/>
      <c r="AF413" s="629"/>
      <c r="AG413" s="629"/>
      <c r="AH413" s="629"/>
      <c r="AI413" s="629"/>
      <c r="AJ413" s="551"/>
      <c r="AK413" s="629"/>
      <c r="AL413" s="629"/>
      <c r="AM413" s="629"/>
      <c r="AN413" s="629"/>
      <c r="AO413" s="551"/>
      <c r="AP413" s="629"/>
      <c r="AQ413" s="629"/>
      <c r="AR413" s="629"/>
      <c r="AS413" s="629"/>
      <c r="AT413" s="551"/>
      <c r="AU413" s="629"/>
      <c r="AV413" s="629"/>
      <c r="AW413" s="737"/>
      <c r="AX413" s="629"/>
      <c r="AY413" s="551">
        <f>SUM(AU413,AV413,AW413,AX413)</f>
        <v>0</v>
      </c>
      <c r="AZ413" s="629"/>
      <c r="BA413" s="629"/>
      <c r="BB413" s="629"/>
      <c r="BC413" s="629"/>
      <c r="BD413" s="551">
        <f>SUM(AZ413,BA413,BB413,BC413)</f>
        <v>0</v>
      </c>
      <c r="BE413" s="551"/>
      <c r="BF413" s="551"/>
      <c r="BG413" s="551"/>
      <c r="BH413" s="361"/>
    </row>
    <row r="414" spans="1:60" s="116" customFormat="1" x14ac:dyDescent="0.25">
      <c r="A414" s="86" t="s">
        <v>135</v>
      </c>
      <c r="B414" s="529"/>
      <c r="C414" s="29">
        <f t="shared" ref="C414:AH414" si="371">C412-C413</f>
        <v>-55.740000000000009</v>
      </c>
      <c r="D414" s="29">
        <f t="shared" si="371"/>
        <v>-154.328</v>
      </c>
      <c r="E414" s="29">
        <f t="shared" si="371"/>
        <v>-254.41099999999994</v>
      </c>
      <c r="F414" s="29">
        <f t="shared" si="371"/>
        <v>-396.21300000000002</v>
      </c>
      <c r="G414" s="30">
        <f t="shared" si="371"/>
        <v>11.248000000000054</v>
      </c>
      <c r="H414" s="30">
        <f t="shared" si="371"/>
        <v>-30.501999999999999</v>
      </c>
      <c r="I414" s="30">
        <f t="shared" si="371"/>
        <v>-38.496000000000002</v>
      </c>
      <c r="J414" s="30">
        <f t="shared" si="371"/>
        <v>-16.26399999999995</v>
      </c>
      <c r="K414" s="29">
        <f t="shared" si="371"/>
        <v>-74.013999999999896</v>
      </c>
      <c r="L414" s="30">
        <f t="shared" si="371"/>
        <v>-49.800000000000011</v>
      </c>
      <c r="M414" s="30">
        <f t="shared" si="371"/>
        <v>-61.900000000000098</v>
      </c>
      <c r="N414" s="30">
        <f t="shared" si="371"/>
        <v>-74.708000000000027</v>
      </c>
      <c r="O414" s="30">
        <f t="shared" si="371"/>
        <v>-107.62900000000008</v>
      </c>
      <c r="P414" s="29">
        <f t="shared" si="371"/>
        <v>-294.03999999999962</v>
      </c>
      <c r="Q414" s="30">
        <f t="shared" si="371"/>
        <v>-154.1809999999999</v>
      </c>
      <c r="R414" s="30">
        <f t="shared" si="371"/>
        <v>-184.227</v>
      </c>
      <c r="S414" s="30">
        <f t="shared" si="371"/>
        <v>-229.85800000000003</v>
      </c>
      <c r="T414" s="30">
        <f t="shared" si="371"/>
        <v>-320.39699999999993</v>
      </c>
      <c r="U414" s="29">
        <f t="shared" si="371"/>
        <v>-888.6629999999999</v>
      </c>
      <c r="V414" s="30">
        <f t="shared" si="371"/>
        <v>-282.26700000000005</v>
      </c>
      <c r="W414" s="31">
        <f t="shared" si="371"/>
        <v>-293.18799999999999</v>
      </c>
      <c r="X414" s="31">
        <f t="shared" si="371"/>
        <v>21.877999999999727</v>
      </c>
      <c r="Y414" s="30">
        <f t="shared" si="371"/>
        <v>-121.33700000000019</v>
      </c>
      <c r="Z414" s="29">
        <f t="shared" si="371"/>
        <v>-674.91400000000067</v>
      </c>
      <c r="AA414" s="30">
        <f t="shared" si="371"/>
        <v>-330.27699999999999</v>
      </c>
      <c r="AB414" s="31">
        <f t="shared" si="371"/>
        <v>-336.39700000000016</v>
      </c>
      <c r="AC414" s="31">
        <f t="shared" si="371"/>
        <v>-619.37599999999975</v>
      </c>
      <c r="AD414" s="30">
        <f t="shared" si="371"/>
        <v>-675.3500000000007</v>
      </c>
      <c r="AE414" s="29">
        <f t="shared" si="371"/>
        <v>-1961.3999999999992</v>
      </c>
      <c r="AF414" s="30">
        <f t="shared" si="371"/>
        <v>-709.55100000000016</v>
      </c>
      <c r="AG414" s="31">
        <f t="shared" si="371"/>
        <v>-717.5390000000009</v>
      </c>
      <c r="AH414" s="31">
        <f t="shared" si="371"/>
        <v>311.51600000000008</v>
      </c>
      <c r="AI414" s="30">
        <f t="shared" ref="AI414:AY414" si="372">AI412-AI413</f>
        <v>139.48300000000046</v>
      </c>
      <c r="AJ414" s="29">
        <f t="shared" si="372"/>
        <v>-976.09099999999944</v>
      </c>
      <c r="AK414" s="30">
        <f t="shared" si="372"/>
        <v>-709.73500000000024</v>
      </c>
      <c r="AL414" s="31">
        <f t="shared" si="372"/>
        <v>-408.33400000000057</v>
      </c>
      <c r="AM414" s="31">
        <f t="shared" si="372"/>
        <v>143</v>
      </c>
      <c r="AN414" s="30">
        <f t="shared" si="372"/>
        <v>105.06899999999956</v>
      </c>
      <c r="AO414" s="29">
        <f t="shared" si="372"/>
        <v>-870</v>
      </c>
      <c r="AP414" s="30">
        <f t="shared" si="372"/>
        <v>16</v>
      </c>
      <c r="AQ414" s="31">
        <f t="shared" si="372"/>
        <v>104</v>
      </c>
      <c r="AR414" s="31">
        <f>AR412-AR413</f>
        <v>300</v>
      </c>
      <c r="AS414" s="30">
        <f>AS412-AS413</f>
        <v>270</v>
      </c>
      <c r="AT414" s="29">
        <f>AT412-AT413</f>
        <v>690</v>
      </c>
      <c r="AU414" s="30">
        <f t="shared" ref="AU414" si="373">AU412-AU413</f>
        <v>438</v>
      </c>
      <c r="AV414" s="31">
        <f>AV412-AV413</f>
        <v>1142</v>
      </c>
      <c r="AW414" s="795">
        <f>AW412-AW413</f>
        <v>1618</v>
      </c>
      <c r="AX414" s="44">
        <f t="shared" si="372"/>
        <v>1716.3436034073657</v>
      </c>
      <c r="AY414" s="45">
        <f t="shared" si="372"/>
        <v>4914.3436034073648</v>
      </c>
      <c r="AZ414" s="44">
        <f t="shared" ref="AZ414:BG414" ca="1" si="374">AZ412-AZ413</f>
        <v>2386.0676255690123</v>
      </c>
      <c r="BA414" s="44">
        <f t="shared" ca="1" si="374"/>
        <v>2747.9120988816826</v>
      </c>
      <c r="BB414" s="44">
        <f t="shared" ca="1" si="374"/>
        <v>3641.4401737867956</v>
      </c>
      <c r="BC414" s="44">
        <f t="shared" ca="1" si="374"/>
        <v>3564.309427245375</v>
      </c>
      <c r="BD414" s="45">
        <f t="shared" ca="1" si="374"/>
        <v>12339.729325482866</v>
      </c>
      <c r="BE414" s="45">
        <f t="shared" ca="1" si="374"/>
        <v>15467.344831355669</v>
      </c>
      <c r="BF414" s="45">
        <f t="shared" ca="1" si="374"/>
        <v>19187.669810803425</v>
      </c>
      <c r="BG414" s="45">
        <f t="shared" ca="1" si="374"/>
        <v>23626.95754195207</v>
      </c>
      <c r="BH414" s="368"/>
    </row>
    <row r="415" spans="1:60" s="356" customFormat="1" x14ac:dyDescent="0.25">
      <c r="A415" s="463" t="s">
        <v>136</v>
      </c>
      <c r="B415" s="552"/>
      <c r="C415" s="478">
        <f t="shared" ref="C415:AW415" si="375">-SUM(C362:C367)</f>
        <v>-2.5619999999999998</v>
      </c>
      <c r="D415" s="478">
        <f t="shared" si="375"/>
        <v>-26.177999999999997</v>
      </c>
      <c r="E415" s="478">
        <f t="shared" si="375"/>
        <v>-32.168999999999997</v>
      </c>
      <c r="F415" s="478">
        <f t="shared" si="375"/>
        <v>-51.999000000000002</v>
      </c>
      <c r="G415" s="464">
        <f t="shared" si="375"/>
        <v>-4.1760000000000002</v>
      </c>
      <c r="H415" s="464">
        <f t="shared" si="375"/>
        <v>-56.784999999999997</v>
      </c>
      <c r="I415" s="464">
        <f t="shared" si="375"/>
        <v>-54.430999999999997</v>
      </c>
      <c r="J415" s="464">
        <f t="shared" si="375"/>
        <v>-62.183999999999997</v>
      </c>
      <c r="K415" s="478">
        <f t="shared" si="375"/>
        <v>-177.57600000000002</v>
      </c>
      <c r="L415" s="464">
        <f t="shared" si="375"/>
        <v>-66.814999999999998</v>
      </c>
      <c r="M415" s="464">
        <f t="shared" si="375"/>
        <v>-78.028999999999996</v>
      </c>
      <c r="N415" s="464">
        <f t="shared" si="375"/>
        <v>-77.882000000000005</v>
      </c>
      <c r="O415" s="464">
        <f t="shared" si="375"/>
        <v>-91.415000000000006</v>
      </c>
      <c r="P415" s="478">
        <f t="shared" si="375"/>
        <v>-314.14100000000002</v>
      </c>
      <c r="Q415" s="464">
        <f t="shared" si="375"/>
        <v>-108.932</v>
      </c>
      <c r="R415" s="464">
        <f t="shared" si="375"/>
        <v>-123.413</v>
      </c>
      <c r="S415" s="464">
        <f t="shared" si="375"/>
        <v>-154.90500000000003</v>
      </c>
      <c r="T415" s="464">
        <f t="shared" si="375"/>
        <v>-206.54599999999999</v>
      </c>
      <c r="U415" s="478">
        <f t="shared" si="375"/>
        <v>-593.79600000000005</v>
      </c>
      <c r="V415" s="464">
        <f t="shared" si="375"/>
        <v>-207.018</v>
      </c>
      <c r="W415" s="464">
        <f t="shared" si="375"/>
        <v>-143.673</v>
      </c>
      <c r="X415" s="464">
        <f t="shared" si="375"/>
        <v>-89.543000000000006</v>
      </c>
      <c r="Y415" s="464">
        <f t="shared" si="375"/>
        <v>-14.790999999999997</v>
      </c>
      <c r="Z415" s="478">
        <f t="shared" si="375"/>
        <v>-261.30500000000006</v>
      </c>
      <c r="AA415" s="464">
        <f t="shared" si="375"/>
        <v>-115.288</v>
      </c>
      <c r="AB415" s="464">
        <f t="shared" si="375"/>
        <v>-116.042</v>
      </c>
      <c r="AC415" s="464">
        <f t="shared" si="375"/>
        <v>-130.87800000000001</v>
      </c>
      <c r="AD415" s="464">
        <f t="shared" si="375"/>
        <v>-162.298</v>
      </c>
      <c r="AE415" s="478">
        <f t="shared" si="375"/>
        <v>-524.50599999999997</v>
      </c>
      <c r="AF415" s="464">
        <f t="shared" si="375"/>
        <v>-141.63900000000001</v>
      </c>
      <c r="AG415" s="464">
        <f t="shared" si="375"/>
        <v>-197.34399999999999</v>
      </c>
      <c r="AH415" s="464">
        <f t="shared" si="375"/>
        <v>-204.72800000000001</v>
      </c>
      <c r="AI415" s="464">
        <f t="shared" si="375"/>
        <v>-205.31299999999999</v>
      </c>
      <c r="AJ415" s="478">
        <f t="shared" si="375"/>
        <v>-749.024</v>
      </c>
      <c r="AK415" s="464">
        <f t="shared" si="375"/>
        <v>-208.37799999999999</v>
      </c>
      <c r="AL415" s="464">
        <f t="shared" si="375"/>
        <v>-209.863</v>
      </c>
      <c r="AM415" s="464">
        <f t="shared" si="375"/>
        <v>-199</v>
      </c>
      <c r="AN415" s="464">
        <f t="shared" si="375"/>
        <v>-281</v>
      </c>
      <c r="AO415" s="478">
        <f t="shared" si="375"/>
        <v>-898</v>
      </c>
      <c r="AP415" s="464">
        <f t="shared" si="375"/>
        <v>-211</v>
      </c>
      <c r="AQ415" s="464">
        <f t="shared" si="375"/>
        <v>-347</v>
      </c>
      <c r="AR415" s="464">
        <f t="shared" si="375"/>
        <v>-543</v>
      </c>
      <c r="AS415" s="464">
        <f t="shared" si="375"/>
        <v>-633</v>
      </c>
      <c r="AT415" s="478">
        <f t="shared" si="375"/>
        <v>-1734</v>
      </c>
      <c r="AU415" s="464">
        <f t="shared" si="375"/>
        <v>-614</v>
      </c>
      <c r="AV415" s="464">
        <f t="shared" si="375"/>
        <v>-474</v>
      </c>
      <c r="AW415" s="738">
        <f t="shared" si="375"/>
        <v>-475</v>
      </c>
      <c r="AX415" s="465">
        <v>-400</v>
      </c>
      <c r="AY415" s="478">
        <f>SUM(AU415,AV415,AW415,AX415)</f>
        <v>-1963</v>
      </c>
      <c r="AZ415" s="465">
        <v>-350</v>
      </c>
      <c r="BA415" s="465">
        <v>-350</v>
      </c>
      <c r="BB415" s="465">
        <v>-200</v>
      </c>
      <c r="BC415" s="465">
        <v>-200</v>
      </c>
      <c r="BD415" s="478">
        <f>SUM(AZ415,BA415,BB415,BC415)</f>
        <v>-1100</v>
      </c>
      <c r="BE415" s="1009">
        <v>-800</v>
      </c>
      <c r="BF415" s="1009">
        <v>0</v>
      </c>
      <c r="BG415" s="1009">
        <v>0</v>
      </c>
      <c r="BH415" s="361"/>
    </row>
    <row r="416" spans="1:60" s="356" customFormat="1" x14ac:dyDescent="0.25">
      <c r="A416" s="533" t="s">
        <v>137</v>
      </c>
      <c r="B416" s="527"/>
      <c r="C416" s="479">
        <f t="shared" ref="C416:AW416" si="376">-C377</f>
        <v>0</v>
      </c>
      <c r="D416" s="479">
        <f t="shared" si="376"/>
        <v>0</v>
      </c>
      <c r="E416" s="479">
        <f t="shared" si="376"/>
        <v>0</v>
      </c>
      <c r="F416" s="479">
        <f t="shared" si="376"/>
        <v>0</v>
      </c>
      <c r="G416" s="459">
        <f t="shared" si="376"/>
        <v>0</v>
      </c>
      <c r="H416" s="459">
        <f t="shared" si="376"/>
        <v>0</v>
      </c>
      <c r="I416" s="459">
        <f t="shared" si="376"/>
        <v>0</v>
      </c>
      <c r="J416" s="459">
        <f t="shared" si="376"/>
        <v>0</v>
      </c>
      <c r="K416" s="479">
        <f t="shared" si="376"/>
        <v>0</v>
      </c>
      <c r="L416" s="459">
        <f t="shared" si="376"/>
        <v>0</v>
      </c>
      <c r="M416" s="459">
        <f t="shared" si="376"/>
        <v>0</v>
      </c>
      <c r="N416" s="459">
        <f t="shared" si="376"/>
        <v>0</v>
      </c>
      <c r="O416" s="459">
        <f t="shared" si="376"/>
        <v>0</v>
      </c>
      <c r="P416" s="479">
        <f t="shared" si="376"/>
        <v>0</v>
      </c>
      <c r="Q416" s="459">
        <f t="shared" si="376"/>
        <v>0</v>
      </c>
      <c r="R416" s="459">
        <f t="shared" si="376"/>
        <v>0</v>
      </c>
      <c r="S416" s="459">
        <f t="shared" si="376"/>
        <v>0</v>
      </c>
      <c r="T416" s="459">
        <f t="shared" si="376"/>
        <v>0</v>
      </c>
      <c r="U416" s="479">
        <f t="shared" si="376"/>
        <v>0</v>
      </c>
      <c r="V416" s="459">
        <f t="shared" si="376"/>
        <v>0</v>
      </c>
      <c r="W416" s="459">
        <f t="shared" si="376"/>
        <v>0</v>
      </c>
      <c r="X416" s="459">
        <f t="shared" si="376"/>
        <v>0</v>
      </c>
      <c r="Y416" s="459">
        <f t="shared" si="376"/>
        <v>0</v>
      </c>
      <c r="Z416" s="479">
        <f t="shared" si="376"/>
        <v>0</v>
      </c>
      <c r="AA416" s="459">
        <f t="shared" si="376"/>
        <v>0</v>
      </c>
      <c r="AB416" s="459">
        <f t="shared" si="376"/>
        <v>0</v>
      </c>
      <c r="AC416" s="459">
        <f t="shared" si="376"/>
        <v>0</v>
      </c>
      <c r="AD416" s="459">
        <f t="shared" si="376"/>
        <v>0</v>
      </c>
      <c r="AE416" s="479">
        <f t="shared" si="376"/>
        <v>0</v>
      </c>
      <c r="AF416" s="459">
        <f t="shared" si="376"/>
        <v>0</v>
      </c>
      <c r="AG416" s="459">
        <f t="shared" si="376"/>
        <v>0</v>
      </c>
      <c r="AH416" s="459">
        <f t="shared" si="376"/>
        <v>0</v>
      </c>
      <c r="AI416" s="459">
        <f t="shared" si="376"/>
        <v>0</v>
      </c>
      <c r="AJ416" s="479">
        <f t="shared" si="376"/>
        <v>0</v>
      </c>
      <c r="AK416" s="459">
        <f t="shared" si="376"/>
        <v>0</v>
      </c>
      <c r="AL416" s="459">
        <f t="shared" si="376"/>
        <v>0</v>
      </c>
      <c r="AM416" s="459">
        <f t="shared" si="376"/>
        <v>0</v>
      </c>
      <c r="AN416" s="459">
        <f t="shared" si="376"/>
        <v>0</v>
      </c>
      <c r="AO416" s="479">
        <f t="shared" si="376"/>
        <v>0</v>
      </c>
      <c r="AP416" s="459">
        <f t="shared" si="376"/>
        <v>0</v>
      </c>
      <c r="AQ416" s="459">
        <f t="shared" si="376"/>
        <v>0</v>
      </c>
      <c r="AR416" s="459">
        <f t="shared" si="376"/>
        <v>0</v>
      </c>
      <c r="AS416" s="459">
        <f t="shared" si="376"/>
        <v>0</v>
      </c>
      <c r="AT416" s="479">
        <f t="shared" si="376"/>
        <v>0</v>
      </c>
      <c r="AU416" s="459">
        <f t="shared" si="376"/>
        <v>-5</v>
      </c>
      <c r="AV416" s="459">
        <f t="shared" si="376"/>
        <v>-2</v>
      </c>
      <c r="AW416" s="723">
        <f t="shared" si="376"/>
        <v>-1</v>
      </c>
      <c r="AX416" s="459"/>
      <c r="AY416" s="479">
        <f>SUM(AU416,AV416,AW416,AX416)</f>
        <v>-8</v>
      </c>
      <c r="AZ416" s="459"/>
      <c r="BA416" s="459"/>
      <c r="BB416" s="459"/>
      <c r="BC416" s="459"/>
      <c r="BD416" s="479">
        <f>SUM(AZ416,BA416,BB416,BC416)</f>
        <v>0</v>
      </c>
      <c r="BE416" s="479"/>
      <c r="BF416" s="479"/>
      <c r="BG416" s="479"/>
      <c r="BH416" s="361"/>
    </row>
    <row r="417" spans="1:60" s="116" customFormat="1" x14ac:dyDescent="0.25">
      <c r="A417" s="86" t="s">
        <v>138</v>
      </c>
      <c r="B417" s="529"/>
      <c r="C417" s="29">
        <f t="shared" ref="C417:AH417" si="377">C412-SUM(C415:C416)</f>
        <v>-53.178000000000011</v>
      </c>
      <c r="D417" s="29">
        <f t="shared" si="377"/>
        <v>-128.15</v>
      </c>
      <c r="E417" s="29">
        <f t="shared" si="377"/>
        <v>-222.24199999999996</v>
      </c>
      <c r="F417" s="29">
        <f t="shared" si="377"/>
        <v>-344.214</v>
      </c>
      <c r="G417" s="30">
        <f t="shared" si="377"/>
        <v>15.424000000000055</v>
      </c>
      <c r="H417" s="30">
        <f t="shared" si="377"/>
        <v>26.282999999999998</v>
      </c>
      <c r="I417" s="30">
        <f t="shared" si="377"/>
        <v>15.934999999999995</v>
      </c>
      <c r="J417" s="30">
        <f t="shared" si="377"/>
        <v>45.920000000000044</v>
      </c>
      <c r="K417" s="29">
        <f t="shared" si="377"/>
        <v>103.56200000000013</v>
      </c>
      <c r="L417" s="30">
        <f t="shared" si="377"/>
        <v>17.014999999999986</v>
      </c>
      <c r="M417" s="30">
        <f t="shared" si="377"/>
        <v>16.128999999999898</v>
      </c>
      <c r="N417" s="30">
        <f t="shared" si="377"/>
        <v>3.1739999999999782</v>
      </c>
      <c r="O417" s="30">
        <f t="shared" si="377"/>
        <v>-16.21400000000007</v>
      </c>
      <c r="P417" s="29">
        <f t="shared" si="377"/>
        <v>20.101000000000397</v>
      </c>
      <c r="Q417" s="30">
        <f t="shared" si="377"/>
        <v>-45.248999999999896</v>
      </c>
      <c r="R417" s="30">
        <f t="shared" si="377"/>
        <v>-60.814000000000007</v>
      </c>
      <c r="S417" s="30">
        <f t="shared" si="377"/>
        <v>-74.953000000000003</v>
      </c>
      <c r="T417" s="30">
        <f t="shared" si="377"/>
        <v>-113.85099999999994</v>
      </c>
      <c r="U417" s="29">
        <f t="shared" si="377"/>
        <v>-294.86699999999985</v>
      </c>
      <c r="V417" s="30">
        <f t="shared" si="377"/>
        <v>-75.249000000000052</v>
      </c>
      <c r="W417" s="31">
        <f t="shared" si="377"/>
        <v>-149.51499999999999</v>
      </c>
      <c r="X417" s="31">
        <f t="shared" si="377"/>
        <v>111.42099999999974</v>
      </c>
      <c r="Y417" s="30">
        <f t="shared" si="377"/>
        <v>-106.54600000000019</v>
      </c>
      <c r="Z417" s="29">
        <f t="shared" si="377"/>
        <v>-413.60900000000061</v>
      </c>
      <c r="AA417" s="30">
        <f t="shared" si="377"/>
        <v>-214.98899999999998</v>
      </c>
      <c r="AB417" s="31">
        <f t="shared" si="377"/>
        <v>-220.35500000000016</v>
      </c>
      <c r="AC417" s="31">
        <f t="shared" si="377"/>
        <v>-488.49799999999971</v>
      </c>
      <c r="AD417" s="30">
        <f t="shared" si="377"/>
        <v>-513.0520000000007</v>
      </c>
      <c r="AE417" s="29">
        <f t="shared" si="377"/>
        <v>-1436.8939999999993</v>
      </c>
      <c r="AF417" s="30">
        <f t="shared" si="377"/>
        <v>-567.91200000000015</v>
      </c>
      <c r="AG417" s="31">
        <f t="shared" si="377"/>
        <v>-520.19500000000085</v>
      </c>
      <c r="AH417" s="31">
        <f t="shared" si="377"/>
        <v>516.24400000000014</v>
      </c>
      <c r="AI417" s="30">
        <f t="shared" ref="AI417:AY417" si="378">AI412-SUM(AI415:AI416)</f>
        <v>344.79600000000045</v>
      </c>
      <c r="AJ417" s="29">
        <f t="shared" si="378"/>
        <v>-227.06699999999944</v>
      </c>
      <c r="AK417" s="30">
        <f t="shared" si="378"/>
        <v>-501.35700000000026</v>
      </c>
      <c r="AL417" s="31">
        <f t="shared" si="378"/>
        <v>-198.47100000000057</v>
      </c>
      <c r="AM417" s="31">
        <f t="shared" si="378"/>
        <v>342</v>
      </c>
      <c r="AN417" s="30">
        <f t="shared" si="378"/>
        <v>386.06899999999956</v>
      </c>
      <c r="AO417" s="29">
        <f t="shared" si="378"/>
        <v>28</v>
      </c>
      <c r="AP417" s="30">
        <f t="shared" si="378"/>
        <v>227</v>
      </c>
      <c r="AQ417" s="31">
        <f t="shared" si="378"/>
        <v>451</v>
      </c>
      <c r="AR417" s="31">
        <f>AR412-SUM(AR415:AR416)</f>
        <v>843</v>
      </c>
      <c r="AS417" s="30">
        <f>AS412-SUM(AS415:AS416)</f>
        <v>903</v>
      </c>
      <c r="AT417" s="29">
        <f>AT412-SUM(AT415:AT416)</f>
        <v>2424</v>
      </c>
      <c r="AU417" s="30">
        <f t="shared" ref="AU417" si="379">AU412-SUM(AU415:AU416)</f>
        <v>1057</v>
      </c>
      <c r="AV417" s="31">
        <f>AV412-SUM(AV415:AV416)</f>
        <v>1618</v>
      </c>
      <c r="AW417" s="795">
        <f>AW412-SUM(AW415:AW416)</f>
        <v>2094</v>
      </c>
      <c r="AX417" s="44">
        <f t="shared" si="378"/>
        <v>2116.3436034073657</v>
      </c>
      <c r="AY417" s="45">
        <f t="shared" si="378"/>
        <v>6885.3436034073648</v>
      </c>
      <c r="AZ417" s="44">
        <f t="shared" ref="AZ417:BF417" ca="1" si="380">AZ412-SUM(AZ415:AZ416)</f>
        <v>2736.0676255690123</v>
      </c>
      <c r="BA417" s="44">
        <f t="shared" ca="1" si="380"/>
        <v>3097.9120988816826</v>
      </c>
      <c r="BB417" s="44">
        <f t="shared" ca="1" si="380"/>
        <v>3841.4401737867956</v>
      </c>
      <c r="BC417" s="44">
        <f t="shared" ca="1" si="380"/>
        <v>3764.309427245375</v>
      </c>
      <c r="BD417" s="45">
        <f t="shared" ca="1" si="380"/>
        <v>13439.729325482866</v>
      </c>
      <c r="BE417" s="45">
        <f t="shared" ca="1" si="380"/>
        <v>16267.344831355669</v>
      </c>
      <c r="BF417" s="45">
        <f t="shared" ca="1" si="380"/>
        <v>19187.669810803425</v>
      </c>
      <c r="BG417" s="45">
        <f ca="1">BG412-SUM(BG415:BG416)</f>
        <v>23626.95754195207</v>
      </c>
      <c r="BH417" s="368"/>
    </row>
    <row r="418" spans="1:60" s="110" customFormat="1" x14ac:dyDescent="0.25">
      <c r="A418" s="663"/>
      <c r="B418" s="664"/>
      <c r="C418" s="1063"/>
      <c r="D418" s="1063"/>
      <c r="E418" s="1063"/>
      <c r="F418" s="1063"/>
      <c r="G418" s="1064"/>
      <c r="H418" s="1064"/>
      <c r="I418" s="1064"/>
      <c r="J418" s="1064"/>
      <c r="K418" s="1063"/>
      <c r="L418" s="1064"/>
      <c r="M418" s="1064"/>
      <c r="N418" s="1064"/>
      <c r="O418" s="1064"/>
      <c r="P418" s="1063"/>
      <c r="Q418" s="1064"/>
      <c r="R418" s="1064"/>
      <c r="S418" s="1064"/>
      <c r="T418" s="1064"/>
      <c r="U418" s="1063"/>
      <c r="V418" s="1064"/>
      <c r="W418" s="1064"/>
      <c r="X418" s="1064"/>
      <c r="Y418" s="1064"/>
      <c r="Z418" s="1063"/>
      <c r="AA418" s="1064"/>
      <c r="AB418" s="1064"/>
      <c r="AC418" s="1064"/>
      <c r="AD418" s="1064"/>
      <c r="AE418" s="1063"/>
      <c r="AF418" s="1064"/>
      <c r="AG418" s="1064"/>
      <c r="AH418" s="1064"/>
      <c r="AI418" s="1064"/>
      <c r="AJ418" s="1063"/>
      <c r="AK418" s="1064"/>
      <c r="AL418" s="1064"/>
      <c r="AM418" s="1064"/>
      <c r="AN418" s="1064"/>
      <c r="AO418" s="1063"/>
      <c r="AP418" s="1064"/>
      <c r="AQ418" s="1064"/>
      <c r="AR418" s="1064"/>
      <c r="AS418" s="1064"/>
      <c r="AT418" s="1063"/>
      <c r="AU418" s="1064"/>
      <c r="AV418" s="1064"/>
      <c r="AW418" s="1065"/>
      <c r="AX418" s="1064"/>
      <c r="AY418" s="1063"/>
      <c r="AZ418" s="1064"/>
      <c r="BA418" s="1064"/>
      <c r="BB418" s="1064"/>
      <c r="BC418" s="1064"/>
      <c r="BD418" s="1063"/>
      <c r="BE418" s="1063"/>
      <c r="BF418" s="1063"/>
      <c r="BG418" s="1063"/>
      <c r="BH418" s="621"/>
    </row>
    <row r="419" spans="1:60" s="114" customFormat="1" x14ac:dyDescent="0.25">
      <c r="A419" s="365" t="s">
        <v>139</v>
      </c>
      <c r="B419" s="665"/>
      <c r="C419" s="85">
        <f t="shared" ref="C419:AQ419" si="381">C406/C404</f>
        <v>-4.6666905984133242E-4</v>
      </c>
      <c r="D419" s="85">
        <f t="shared" si="381"/>
        <v>-1.1222470889688948E-3</v>
      </c>
      <c r="E419" s="85">
        <f t="shared" si="381"/>
        <v>-1.9257882341821508E-3</v>
      </c>
      <c r="F419" s="85">
        <f t="shared" si="381"/>
        <v>-3.4336757751649304E-4</v>
      </c>
      <c r="G419" s="365">
        <f t="shared" si="381"/>
        <v>1.3246776032985286E-2</v>
      </c>
      <c r="H419" s="365">
        <f t="shared" si="381"/>
        <v>-9.9665573987616305E-3</v>
      </c>
      <c r="I419" s="365">
        <f t="shared" si="381"/>
        <v>-2.0626756455803592E-2</v>
      </c>
      <c r="J419" s="365">
        <f t="shared" si="381"/>
        <v>-9.1104253320810735E-2</v>
      </c>
      <c r="K419" s="85">
        <f t="shared" si="381"/>
        <v>-3.6233304398958416E-2</v>
      </c>
      <c r="L419" s="365">
        <f t="shared" si="381"/>
        <v>-1.6513237125186254E-2</v>
      </c>
      <c r="M419" s="365">
        <f t="shared" si="381"/>
        <v>-1.8930041152263342E-2</v>
      </c>
      <c r="N419" s="365">
        <f t="shared" si="381"/>
        <v>-5.2507008917879412E-2</v>
      </c>
      <c r="O419" s="365">
        <f t="shared" si="381"/>
        <v>-3.5790588008853784E-2</v>
      </c>
      <c r="P419" s="85">
        <f t="shared" si="381"/>
        <v>-3.3038688008544287E-2</v>
      </c>
      <c r="Q419" s="365">
        <f t="shared" si="381"/>
        <v>-2.011366869347167E-2</v>
      </c>
      <c r="R419" s="365">
        <f t="shared" si="381"/>
        <v>-1.7491439301888876E-2</v>
      </c>
      <c r="S419" s="365">
        <f t="shared" si="381"/>
        <v>-7.8220226768504954E-3</v>
      </c>
      <c r="T419" s="365">
        <f t="shared" si="381"/>
        <v>-1.6007661352977182E-2</v>
      </c>
      <c r="U419" s="85">
        <f t="shared" si="381"/>
        <v>-1.4891094807817055E-2</v>
      </c>
      <c r="V419" s="365">
        <f t="shared" si="381"/>
        <v>-1.3813613197280375E-2</v>
      </c>
      <c r="W419" s="371">
        <f t="shared" si="381"/>
        <v>-1.2602792715316417E-2</v>
      </c>
      <c r="X419" s="371">
        <f t="shared" si="381"/>
        <v>0.27100063310119865</v>
      </c>
      <c r="Y419" s="365">
        <f t="shared" si="381"/>
        <v>-5.3119256810253361E-2</v>
      </c>
      <c r="Z419" s="85">
        <f t="shared" si="381"/>
        <v>-3.5771516772336732E-2</v>
      </c>
      <c r="AA419" s="365">
        <f t="shared" si="381"/>
        <v>-6.7969336090324628E-2</v>
      </c>
      <c r="AB419" s="371">
        <f t="shared" si="381"/>
        <v>-4.0559386178651027E-2</v>
      </c>
      <c r="AC419" s="371">
        <f t="shared" si="381"/>
        <v>4.2445580298102023E-4</v>
      </c>
      <c r="AD419" s="365">
        <f t="shared" si="381"/>
        <v>1.1660454339717465E-2</v>
      </c>
      <c r="AE419" s="85">
        <f t="shared" si="381"/>
        <v>-1.4280463116876536E-2</v>
      </c>
      <c r="AF419" s="365">
        <f t="shared" si="381"/>
        <v>-7.1949187571082708E-3</v>
      </c>
      <c r="AG419" s="371">
        <f t="shared" si="381"/>
        <v>-1.880249492797656E-2</v>
      </c>
      <c r="AH419" s="371">
        <f t="shared" si="381"/>
        <v>6.1355594869526742E-2</v>
      </c>
      <c r="AI419" s="365">
        <f t="shared" si="381"/>
        <v>9.4319612340271239E-2</v>
      </c>
      <c r="AJ419" s="85">
        <f t="shared" si="381"/>
        <v>-5.7563859486735473E-2</v>
      </c>
      <c r="AK419" s="365">
        <f t="shared" si="381"/>
        <v>-3.547455534669619E-2</v>
      </c>
      <c r="AL419" s="371">
        <f t="shared" si="381"/>
        <v>-5.2540214314105549E-2</v>
      </c>
      <c r="AM419" s="371">
        <f t="shared" si="381"/>
        <v>0.14772727272727273</v>
      </c>
      <c r="AN419" s="365">
        <f t="shared" si="381"/>
        <v>0.24018018121806711</v>
      </c>
      <c r="AO419" s="85">
        <f t="shared" si="381"/>
        <v>-0.16541353383458646</v>
      </c>
      <c r="AP419" s="365">
        <f t="shared" si="381"/>
        <v>2.8571428571428571E-2</v>
      </c>
      <c r="AQ419" s="371">
        <f t="shared" si="381"/>
        <v>0.14000000000000001</v>
      </c>
      <c r="AR419" s="371">
        <f>AR406/AR404</f>
        <v>0.33513513513513515</v>
      </c>
      <c r="AS419" s="365">
        <f>AS406/AS404</f>
        <v>0.21899736147757257</v>
      </c>
      <c r="AT419" s="85">
        <f>AT406/AT404</f>
        <v>0.2530329289428076</v>
      </c>
      <c r="AU419" s="365">
        <f t="shared" ref="AU419" si="382">AU406/AU404</f>
        <v>0.12945590994371481</v>
      </c>
      <c r="AV419" s="371">
        <f>AV406/AV404</f>
        <v>8.8940448569218872E-2</v>
      </c>
      <c r="AW419" s="798">
        <f>AW406/AW404</f>
        <v>0.11849096705632306</v>
      </c>
      <c r="AX419" s="246">
        <v>0.21</v>
      </c>
      <c r="AY419" s="252">
        <f>AY406/AY404</f>
        <v>0.14746843368700174</v>
      </c>
      <c r="AZ419" s="246">
        <v>0.21</v>
      </c>
      <c r="BA419" s="246">
        <v>0.21</v>
      </c>
      <c r="BB419" s="246">
        <v>0.21</v>
      </c>
      <c r="BC419" s="246">
        <v>0.21</v>
      </c>
      <c r="BD419" s="252">
        <f ca="1">BD406/BD404</f>
        <v>0.21000000000000002</v>
      </c>
      <c r="BE419" s="1014">
        <v>0.21</v>
      </c>
      <c r="BF419" s="1014">
        <v>0.21</v>
      </c>
      <c r="BG419" s="1014">
        <v>0.21</v>
      </c>
      <c r="BH419" s="365"/>
    </row>
    <row r="420" spans="1:60" s="114" customFormat="1" x14ac:dyDescent="0.25">
      <c r="A420" s="365" t="s">
        <v>140</v>
      </c>
      <c r="B420" s="665"/>
      <c r="C420" s="85">
        <f t="shared" ref="C420:AQ420" si="383">C407/C404</f>
        <v>0</v>
      </c>
      <c r="D420" s="85">
        <f t="shared" si="383"/>
        <v>0</v>
      </c>
      <c r="E420" s="85">
        <f t="shared" si="383"/>
        <v>0</v>
      </c>
      <c r="F420" s="85">
        <f t="shared" si="383"/>
        <v>0</v>
      </c>
      <c r="G420" s="365">
        <f t="shared" si="383"/>
        <v>0</v>
      </c>
      <c r="H420" s="365">
        <f t="shared" si="383"/>
        <v>0</v>
      </c>
      <c r="I420" s="365">
        <f t="shared" si="383"/>
        <v>0</v>
      </c>
      <c r="J420" s="365">
        <f t="shared" si="383"/>
        <v>0</v>
      </c>
      <c r="K420" s="85">
        <f t="shared" si="383"/>
        <v>0</v>
      </c>
      <c r="L420" s="365">
        <f t="shared" si="383"/>
        <v>0</v>
      </c>
      <c r="M420" s="365">
        <f t="shared" si="383"/>
        <v>0</v>
      </c>
      <c r="N420" s="365">
        <f t="shared" si="383"/>
        <v>0</v>
      </c>
      <c r="O420" s="365">
        <f t="shared" si="383"/>
        <v>0</v>
      </c>
      <c r="P420" s="85">
        <f t="shared" si="383"/>
        <v>0</v>
      </c>
      <c r="Q420" s="365">
        <f t="shared" si="383"/>
        <v>0</v>
      </c>
      <c r="R420" s="365">
        <f t="shared" si="383"/>
        <v>0</v>
      </c>
      <c r="S420" s="365">
        <f t="shared" si="383"/>
        <v>0</v>
      </c>
      <c r="T420" s="365">
        <f t="shared" si="383"/>
        <v>0</v>
      </c>
      <c r="U420" s="85">
        <f t="shared" si="383"/>
        <v>0</v>
      </c>
      <c r="V420" s="365">
        <f t="shared" si="383"/>
        <v>0</v>
      </c>
      <c r="W420" s="371">
        <f t="shared" si="383"/>
        <v>0</v>
      </c>
      <c r="X420" s="371">
        <f t="shared" si="383"/>
        <v>0</v>
      </c>
      <c r="Y420" s="365">
        <f t="shared" si="383"/>
        <v>0</v>
      </c>
      <c r="Z420" s="85">
        <f t="shared" si="383"/>
        <v>0</v>
      </c>
      <c r="AA420" s="365">
        <f t="shared" si="383"/>
        <v>0</v>
      </c>
      <c r="AB420" s="371">
        <f t="shared" si="383"/>
        <v>0</v>
      </c>
      <c r="AC420" s="371">
        <f t="shared" si="383"/>
        <v>0</v>
      </c>
      <c r="AD420" s="365">
        <f t="shared" si="383"/>
        <v>0</v>
      </c>
      <c r="AE420" s="85">
        <f t="shared" si="383"/>
        <v>0</v>
      </c>
      <c r="AF420" s="365">
        <f t="shared" si="383"/>
        <v>0</v>
      </c>
      <c r="AG420" s="371">
        <f t="shared" si="383"/>
        <v>0</v>
      </c>
      <c r="AH420" s="371">
        <f t="shared" si="383"/>
        <v>0</v>
      </c>
      <c r="AI420" s="365">
        <f t="shared" si="383"/>
        <v>0</v>
      </c>
      <c r="AJ420" s="85">
        <f t="shared" si="383"/>
        <v>0</v>
      </c>
      <c r="AK420" s="365">
        <f t="shared" si="383"/>
        <v>0</v>
      </c>
      <c r="AL420" s="371">
        <f t="shared" si="383"/>
        <v>0</v>
      </c>
      <c r="AM420" s="371">
        <f t="shared" si="383"/>
        <v>0</v>
      </c>
      <c r="AN420" s="365">
        <f t="shared" si="383"/>
        <v>0</v>
      </c>
      <c r="AO420" s="85">
        <f t="shared" si="383"/>
        <v>0</v>
      </c>
      <c r="AP420" s="365">
        <f t="shared" si="383"/>
        <v>0</v>
      </c>
      <c r="AQ420" s="371">
        <f t="shared" si="383"/>
        <v>0</v>
      </c>
      <c r="AR420" s="371">
        <f>AR407/AR404</f>
        <v>0</v>
      </c>
      <c r="AS420" s="365">
        <f>AS407/AS404</f>
        <v>0</v>
      </c>
      <c r="AT420" s="85">
        <f>AT407/AT404</f>
        <v>0</v>
      </c>
      <c r="AU420" s="365">
        <f t="shared" ref="AU420" si="384">AU407/AU404</f>
        <v>0</v>
      </c>
      <c r="AV420" s="371">
        <f>AV407/AV404</f>
        <v>0</v>
      </c>
      <c r="AW420" s="798">
        <f>AW407/AW404</f>
        <v>0</v>
      </c>
      <c r="AX420" s="246">
        <v>0</v>
      </c>
      <c r="AY420" s="252">
        <f>AY407/AY404</f>
        <v>0</v>
      </c>
      <c r="AZ420" s="246">
        <v>0</v>
      </c>
      <c r="BA420" s="246">
        <v>0</v>
      </c>
      <c r="BB420" s="246">
        <v>0</v>
      </c>
      <c r="BC420" s="246">
        <v>0</v>
      </c>
      <c r="BD420" s="252">
        <f ca="1">BD407/BD404</f>
        <v>0</v>
      </c>
      <c r="BE420" s="1014">
        <v>0</v>
      </c>
      <c r="BF420" s="1014">
        <v>0</v>
      </c>
      <c r="BG420" s="1014">
        <v>0</v>
      </c>
      <c r="BH420" s="365"/>
    </row>
    <row r="421" spans="1:60" s="109" customFormat="1" x14ac:dyDescent="0.25">
      <c r="A421" s="1021"/>
      <c r="B421" s="214"/>
      <c r="C421" s="1051"/>
      <c r="D421" s="1051"/>
      <c r="E421" s="1051"/>
      <c r="F421" s="1051"/>
      <c r="G421" s="1052"/>
      <c r="H421" s="1052"/>
      <c r="I421" s="1052"/>
      <c r="J421" s="1052"/>
      <c r="K421" s="1051"/>
      <c r="L421" s="1052"/>
      <c r="M421" s="1052"/>
      <c r="N421" s="1052"/>
      <c r="O421" s="1052"/>
      <c r="P421" s="1051"/>
      <c r="Q421" s="1052"/>
      <c r="R421" s="1052"/>
      <c r="S421" s="1052"/>
      <c r="T421" s="1052"/>
      <c r="U421" s="1051"/>
      <c r="V421" s="1052"/>
      <c r="W421" s="1052"/>
      <c r="X421" s="1052"/>
      <c r="Y421" s="1052"/>
      <c r="Z421" s="1051"/>
      <c r="AA421" s="1052"/>
      <c r="AB421" s="1052"/>
      <c r="AC421" s="1052"/>
      <c r="AD421" s="1052"/>
      <c r="AE421" s="1051"/>
      <c r="AF421" s="1052"/>
      <c r="AG421" s="1052"/>
      <c r="AH421" s="1052"/>
      <c r="AI421" s="1052"/>
      <c r="AJ421" s="1051"/>
      <c r="AK421" s="1052"/>
      <c r="AL421" s="1052"/>
      <c r="AM421" s="1052"/>
      <c r="AN421" s="1052"/>
      <c r="AO421" s="1051"/>
      <c r="AP421" s="1052"/>
      <c r="AQ421" s="1052"/>
      <c r="AR421" s="1052"/>
      <c r="AS421" s="1052"/>
      <c r="AT421" s="1051"/>
      <c r="AU421" s="1052"/>
      <c r="AV421" s="1052"/>
      <c r="AW421" s="1053"/>
      <c r="AX421" s="1052"/>
      <c r="AY421" s="1051"/>
      <c r="AZ421" s="1052"/>
      <c r="BA421" s="1052"/>
      <c r="BB421" s="1052"/>
      <c r="BC421" s="1052"/>
      <c r="BD421" s="1051"/>
      <c r="BE421" s="1051"/>
      <c r="BF421" s="1051"/>
      <c r="BG421" s="1051"/>
      <c r="BH421" s="1024"/>
    </row>
    <row r="422" spans="1:60" s="119" customFormat="1" x14ac:dyDescent="0.25">
      <c r="A422" s="105" t="s">
        <v>141</v>
      </c>
      <c r="B422" s="657"/>
      <c r="C422" s="106">
        <f t="shared" ref="C422:AH422" si="385">C412/C427</f>
        <v>-1.5875902507603643</v>
      </c>
      <c r="D422" s="106">
        <f t="shared" si="385"/>
        <v>-0.60856926953114476</v>
      </c>
      <c r="E422" s="106">
        <f t="shared" si="385"/>
        <v>-0.50685035213021334</v>
      </c>
      <c r="F422" s="106">
        <f t="shared" si="385"/>
        <v>-0.73817734678478608</v>
      </c>
      <c r="G422" s="373">
        <f t="shared" si="385"/>
        <v>1.961085152381626E-2</v>
      </c>
      <c r="H422" s="373">
        <f t="shared" si="385"/>
        <v>-5.1613620256012488E-2</v>
      </c>
      <c r="I422" s="373">
        <f t="shared" si="385"/>
        <v>-6.317940457103878E-2</v>
      </c>
      <c r="J422" s="373">
        <f t="shared" si="385"/>
        <v>-2.6488167945147391E-2</v>
      </c>
      <c r="K422" s="106">
        <f t="shared" si="385"/>
        <v>-0.12395474832734593</v>
      </c>
      <c r="L422" s="373">
        <f t="shared" si="385"/>
        <v>-8.0665551052376883E-2</v>
      </c>
      <c r="M422" s="373">
        <f t="shared" si="385"/>
        <v>-9.9637483743718114E-2</v>
      </c>
      <c r="N422" s="373">
        <f t="shared" si="385"/>
        <v>-0.1196179679932112</v>
      </c>
      <c r="O422" s="373">
        <f t="shared" si="385"/>
        <v>-0.17152441891041231</v>
      </c>
      <c r="P422" s="106">
        <f t="shared" si="385"/>
        <v>-0.47220549386136007</v>
      </c>
      <c r="Q422" s="373">
        <f t="shared" si="385"/>
        <v>-0.24483473206983875</v>
      </c>
      <c r="R422" s="373">
        <f t="shared" si="385"/>
        <v>-0.29083402074635595</v>
      </c>
      <c r="S422" s="373">
        <f t="shared" si="385"/>
        <v>-0.35635241771700549</v>
      </c>
      <c r="T422" s="373">
        <f t="shared" si="385"/>
        <v>-0.4887826086956521</v>
      </c>
      <c r="U422" s="106">
        <f t="shared" si="385"/>
        <v>-1.3863481068938082</v>
      </c>
      <c r="V422" s="373">
        <f t="shared" si="385"/>
        <v>-0.42549820615635098</v>
      </c>
      <c r="W422" s="782">
        <f t="shared" si="385"/>
        <v>-0.41889086531936021</v>
      </c>
      <c r="X422" s="782">
        <f t="shared" si="385"/>
        <v>2.9368216872159694E-2</v>
      </c>
      <c r="Y422" s="373">
        <f t="shared" si="385"/>
        <v>-0.1565396325730212</v>
      </c>
      <c r="Z422" s="106">
        <f t="shared" si="385"/>
        <v>-0.9360025517987417</v>
      </c>
      <c r="AA422" s="373">
        <f t="shared" si="385"/>
        <v>-0.40742495173596333</v>
      </c>
      <c r="AB422" s="782">
        <f t="shared" si="385"/>
        <v>-0.40723070963368302</v>
      </c>
      <c r="AC422" s="782">
        <f t="shared" si="385"/>
        <v>-0.74046409315337036</v>
      </c>
      <c r="AD422" s="373">
        <f t="shared" si="385"/>
        <v>-0.8024882065662996</v>
      </c>
      <c r="AE422" s="106">
        <f t="shared" si="385"/>
        <v>-2.3665826083808916</v>
      </c>
      <c r="AF422" s="373">
        <f t="shared" si="385"/>
        <v>-0.83898052569969173</v>
      </c>
      <c r="AG422" s="782">
        <f t="shared" si="385"/>
        <v>-0.84417842667811882</v>
      </c>
      <c r="AH422" s="782">
        <f t="shared" si="385"/>
        <v>0.36457432428478648</v>
      </c>
      <c r="AI422" s="373">
        <f t="shared" ref="AI422:AY422" si="386">AI412/AI427</f>
        <v>0.16216502156650789</v>
      </c>
      <c r="AJ422" s="106">
        <f t="shared" si="386"/>
        <v>-1.1448069198064794</v>
      </c>
      <c r="AK422" s="373">
        <f t="shared" si="386"/>
        <v>-0.82055506419483348</v>
      </c>
      <c r="AL422" s="782">
        <f t="shared" si="386"/>
        <v>-0.4622980515584143</v>
      </c>
      <c r="AM422" s="782">
        <f t="shared" si="386"/>
        <v>0.15977653631284916</v>
      </c>
      <c r="AN422" s="373">
        <f t="shared" si="386"/>
        <v>0.11674333333333285</v>
      </c>
      <c r="AO422" s="106">
        <f t="shared" si="386"/>
        <v>-0.98305084745762716</v>
      </c>
      <c r="AP422" s="373">
        <f t="shared" si="386"/>
        <v>1.7486338797814208E-2</v>
      </c>
      <c r="AQ422" s="782">
        <f t="shared" si="386"/>
        <v>0.11182795698924732</v>
      </c>
      <c r="AR422" s="782">
        <f>AR412/AR427</f>
        <v>0.32017075773745995</v>
      </c>
      <c r="AS422" s="373">
        <f>AS412/AS427</f>
        <v>0.28391167192429023</v>
      </c>
      <c r="AT422" s="106">
        <f>AT412/AT427</f>
        <v>0.73954983922829587</v>
      </c>
      <c r="AU422" s="373">
        <f t="shared" ref="AU422" si="387">AU412/AU427</f>
        <v>0.45577523413111343</v>
      </c>
      <c r="AV422" s="782">
        <f>AV412/AV427</f>
        <v>1.1761071060762101</v>
      </c>
      <c r="AW422" s="1001">
        <f>AW412/AW427</f>
        <v>1.6212424849699398</v>
      </c>
      <c r="AX422" s="247">
        <f t="shared" ca="1" si="386"/>
        <v>1.7197831697468593</v>
      </c>
      <c r="AY422" s="253">
        <f t="shared" ca="1" si="386"/>
        <v>5.0044232213924289</v>
      </c>
      <c r="AZ422" s="247">
        <f t="shared" ref="AZ422:BG422" ca="1" si="388">AZ412/AZ427</f>
        <v>2.3908493242174473</v>
      </c>
      <c r="BA422" s="247">
        <f t="shared" ca="1" si="388"/>
        <v>2.7534189367551929</v>
      </c>
      <c r="BB422" s="247">
        <f t="shared" ca="1" si="388"/>
        <v>3.6487376490849655</v>
      </c>
      <c r="BC422" s="247">
        <f t="shared" ca="1" si="388"/>
        <v>3.5714523319091933</v>
      </c>
      <c r="BD422" s="253">
        <f t="shared" ca="1" si="388"/>
        <v>12.364458241966799</v>
      </c>
      <c r="BE422" s="253">
        <f t="shared" ca="1" si="388"/>
        <v>15.498341514384437</v>
      </c>
      <c r="BF422" s="253">
        <f t="shared" ca="1" si="388"/>
        <v>19.226122054913251</v>
      </c>
      <c r="BG422" s="253">
        <f t="shared" ca="1" si="388"/>
        <v>23.674306154260591</v>
      </c>
      <c r="BH422" s="373"/>
    </row>
    <row r="423" spans="1:60" s="119" customFormat="1" x14ac:dyDescent="0.25">
      <c r="A423" s="105" t="s">
        <v>142</v>
      </c>
      <c r="B423" s="657"/>
      <c r="C423" s="106">
        <f t="shared" ref="C423:AH423" si="389">C414/C428</f>
        <v>-1.5875902507603643</v>
      </c>
      <c r="D423" s="106">
        <f t="shared" si="389"/>
        <v>-0.60856926953114476</v>
      </c>
      <c r="E423" s="106">
        <f t="shared" si="389"/>
        <v>-0.50685035213021334</v>
      </c>
      <c r="F423" s="106">
        <f t="shared" si="389"/>
        <v>-0.73817734678478608</v>
      </c>
      <c r="G423" s="373">
        <f t="shared" si="389"/>
        <v>1.8103204553689946E-2</v>
      </c>
      <c r="H423" s="373">
        <f t="shared" si="389"/>
        <v>-5.1613620256012488E-2</v>
      </c>
      <c r="I423" s="373">
        <f t="shared" si="389"/>
        <v>-6.317940457103878E-2</v>
      </c>
      <c r="J423" s="373">
        <f t="shared" si="389"/>
        <v>-2.6488167945147391E-2</v>
      </c>
      <c r="K423" s="106">
        <f t="shared" si="389"/>
        <v>-0.12395474832734593</v>
      </c>
      <c r="L423" s="373">
        <f t="shared" si="389"/>
        <v>-8.0665551052376883E-2</v>
      </c>
      <c r="M423" s="373">
        <f t="shared" si="389"/>
        <v>-9.9637483743718114E-2</v>
      </c>
      <c r="N423" s="373">
        <f t="shared" si="389"/>
        <v>-0.1196179679932112</v>
      </c>
      <c r="O423" s="373">
        <f t="shared" si="389"/>
        <v>-0.17152441891041231</v>
      </c>
      <c r="P423" s="106">
        <f t="shared" si="389"/>
        <v>-0.47220549386136007</v>
      </c>
      <c r="Q423" s="373">
        <f t="shared" si="389"/>
        <v>-0.24483473206983875</v>
      </c>
      <c r="R423" s="373">
        <f t="shared" si="389"/>
        <v>-0.29083402074635595</v>
      </c>
      <c r="S423" s="373">
        <f t="shared" si="389"/>
        <v>-0.35635241771700549</v>
      </c>
      <c r="T423" s="373">
        <f t="shared" si="389"/>
        <v>-0.4887826086956521</v>
      </c>
      <c r="U423" s="106">
        <f t="shared" si="389"/>
        <v>-1.3863481068938082</v>
      </c>
      <c r="V423" s="373">
        <f t="shared" si="389"/>
        <v>-0.42549820615635098</v>
      </c>
      <c r="W423" s="782">
        <f t="shared" si="389"/>
        <v>-0.41889086531936021</v>
      </c>
      <c r="X423" s="782">
        <f t="shared" si="389"/>
        <v>2.7881607034759268E-2</v>
      </c>
      <c r="Y423" s="373">
        <f t="shared" si="389"/>
        <v>-0.1565396325730212</v>
      </c>
      <c r="Z423" s="106">
        <f t="shared" si="389"/>
        <v>-0.9360025517987417</v>
      </c>
      <c r="AA423" s="373">
        <f t="shared" si="389"/>
        <v>-0.40742495173596333</v>
      </c>
      <c r="AB423" s="782">
        <f t="shared" si="389"/>
        <v>-0.40723070963368302</v>
      </c>
      <c r="AC423" s="782">
        <f t="shared" si="389"/>
        <v>-0.74046409315337036</v>
      </c>
      <c r="AD423" s="373">
        <f t="shared" si="389"/>
        <v>-0.8024882065662996</v>
      </c>
      <c r="AE423" s="106">
        <f t="shared" si="389"/>
        <v>-2.3665826083808916</v>
      </c>
      <c r="AF423" s="373">
        <f t="shared" si="389"/>
        <v>-0.83898052569969173</v>
      </c>
      <c r="AG423" s="782">
        <f t="shared" si="389"/>
        <v>-0.84417842667811882</v>
      </c>
      <c r="AH423" s="782">
        <f t="shared" si="389"/>
        <v>0.34963298839480134</v>
      </c>
      <c r="AI423" s="373">
        <f t="shared" ref="AI423:AY423" si="390">AI414/AI428</f>
        <v>0.15582429367801373</v>
      </c>
      <c r="AJ423" s="106">
        <f t="shared" si="390"/>
        <v>-1.1448069198064794</v>
      </c>
      <c r="AK423" s="373">
        <f t="shared" si="390"/>
        <v>-0.82055506419483348</v>
      </c>
      <c r="AL423" s="782">
        <f t="shared" si="390"/>
        <v>-0.4622980515584143</v>
      </c>
      <c r="AM423" s="782">
        <f t="shared" si="390"/>
        <v>0.15543478260869564</v>
      </c>
      <c r="AN423" s="373">
        <f t="shared" si="390"/>
        <v>0.1123732620320851</v>
      </c>
      <c r="AO423" s="106">
        <f t="shared" si="390"/>
        <v>-0.98305084745762716</v>
      </c>
      <c r="AP423" s="373">
        <f t="shared" si="390"/>
        <v>1.6080402010050253E-2</v>
      </c>
      <c r="AQ423" s="782">
        <f t="shared" si="390"/>
        <v>0.10048309178743961</v>
      </c>
      <c r="AR423" s="782">
        <f>AR414/AR428</f>
        <v>0.27149321266968324</v>
      </c>
      <c r="AS423" s="373">
        <f>AS414/AS428</f>
        <v>0.2402135231316726</v>
      </c>
      <c r="AT423" s="106">
        <f>AT414/AT428</f>
        <v>0.63711911357340723</v>
      </c>
      <c r="AU423" s="373">
        <f t="shared" ref="AU423" si="391">AU414/AU428</f>
        <v>0.38658428949691087</v>
      </c>
      <c r="AV423" s="782">
        <f>AV414/AV428</f>
        <v>1.0205540661304737</v>
      </c>
      <c r="AW423" s="1001">
        <f>AW414/AW428</f>
        <v>1.4407836153161175</v>
      </c>
      <c r="AX423" s="247">
        <f t="shared" ca="1" si="390"/>
        <v>1.528355835625437</v>
      </c>
      <c r="AY423" s="253">
        <f t="shared" ca="1" si="390"/>
        <v>4.3702477575876966</v>
      </c>
      <c r="AZ423" s="247">
        <f t="shared" ref="AZ423:BG423" ca="1" si="392">AZ414/AZ428</f>
        <v>2.124726291691017</v>
      </c>
      <c r="BA423" s="247">
        <f t="shared" ca="1" si="392"/>
        <v>2.4469386454868056</v>
      </c>
      <c r="BB423" s="247">
        <f t="shared" ca="1" si="392"/>
        <v>3.2426003328466568</v>
      </c>
      <c r="BC423" s="247">
        <f t="shared" ca="1" si="392"/>
        <v>3.1739175665586599</v>
      </c>
      <c r="BD423" s="253">
        <f t="shared" ca="1" si="392"/>
        <v>10.988182836583139</v>
      </c>
      <c r="BE423" s="253">
        <f t="shared" ca="1" si="392"/>
        <v>13.773236715365689</v>
      </c>
      <c r="BF423" s="253">
        <f t="shared" ca="1" si="392"/>
        <v>17.08608175494517</v>
      </c>
      <c r="BG423" s="253">
        <f t="shared" ca="1" si="392"/>
        <v>21.039142958105138</v>
      </c>
      <c r="BH423" s="373"/>
    </row>
    <row r="424" spans="1:60" s="119" customFormat="1" x14ac:dyDescent="0.25">
      <c r="A424" s="105" t="s">
        <v>143</v>
      </c>
      <c r="B424" s="657"/>
      <c r="C424" s="106">
        <f t="shared" ref="C424:AH424" si="393">C417/C429</f>
        <v>-1.5146192026360721</v>
      </c>
      <c r="D424" s="106">
        <f t="shared" si="393"/>
        <v>-0.5053402615884105</v>
      </c>
      <c r="E424" s="106">
        <f t="shared" si="393"/>
        <v>-0.44276165715367216</v>
      </c>
      <c r="F424" s="106">
        <f t="shared" si="393"/>
        <v>-0.64129894083782801</v>
      </c>
      <c r="G424" s="373">
        <f t="shared" si="393"/>
        <v>2.482430894702288E-2</v>
      </c>
      <c r="H424" s="373">
        <f t="shared" si="393"/>
        <v>4.0279533803820607E-2</v>
      </c>
      <c r="I424" s="373">
        <f t="shared" si="393"/>
        <v>2.3240551005972384E-2</v>
      </c>
      <c r="J424" s="373">
        <f t="shared" si="393"/>
        <v>6.6655054287870941E-2</v>
      </c>
      <c r="K424" s="106">
        <f t="shared" si="393"/>
        <v>0.15509562248214118</v>
      </c>
      <c r="L424" s="373">
        <f t="shared" si="393"/>
        <v>2.426883277112556E-2</v>
      </c>
      <c r="M424" s="373">
        <f t="shared" si="393"/>
        <v>2.2886454578993527E-2</v>
      </c>
      <c r="N424" s="373">
        <f t="shared" si="393"/>
        <v>4.4470286590961314E-3</v>
      </c>
      <c r="O424" s="373">
        <f t="shared" si="393"/>
        <v>-2.5839661505852839E-2</v>
      </c>
      <c r="P424" s="106">
        <f t="shared" si="393"/>
        <v>2.8267274171887971E-2</v>
      </c>
      <c r="Q424" s="373">
        <f t="shared" si="393"/>
        <v>-7.1854033839630793E-2</v>
      </c>
      <c r="R424" s="373">
        <f t="shared" si="393"/>
        <v>-9.6005363696249138E-2</v>
      </c>
      <c r="S424" s="373">
        <f t="shared" si="393"/>
        <v>-0.11620079686216146</v>
      </c>
      <c r="T424" s="373">
        <f t="shared" si="393"/>
        <v>-0.17368573607932866</v>
      </c>
      <c r="U424" s="106">
        <f t="shared" si="393"/>
        <v>-0.46000374409135558</v>
      </c>
      <c r="V424" s="373">
        <f t="shared" si="393"/>
        <v>-0.11343272332599727</v>
      </c>
      <c r="W424" s="782">
        <f t="shared" si="393"/>
        <v>-0.21361879656815469</v>
      </c>
      <c r="X424" s="782">
        <f t="shared" si="393"/>
        <v>0.14956742353564945</v>
      </c>
      <c r="Y424" s="373">
        <f t="shared" si="393"/>
        <v>-0.1374574259469504</v>
      </c>
      <c r="Z424" s="106">
        <f t="shared" si="393"/>
        <v>-0.57361245943472194</v>
      </c>
      <c r="AA424" s="373">
        <f t="shared" si="393"/>
        <v>-0.26520733489998705</v>
      </c>
      <c r="AB424" s="782">
        <f t="shared" si="393"/>
        <v>-0.26675423092753575</v>
      </c>
      <c r="AC424" s="782">
        <f t="shared" si="393"/>
        <v>-0.58399942615993361</v>
      </c>
      <c r="AD424" s="373">
        <f t="shared" si="393"/>
        <v>-0.60963675035944809</v>
      </c>
      <c r="AE424" s="106">
        <f t="shared" si="393"/>
        <v>-1.7337250690766046</v>
      </c>
      <c r="AF424" s="373">
        <f t="shared" si="393"/>
        <v>-0.67150509027703897</v>
      </c>
      <c r="AG424" s="782">
        <f t="shared" si="393"/>
        <v>-0.61200491773384325</v>
      </c>
      <c r="AH424" s="782">
        <f t="shared" si="393"/>
        <v>0.57941143460010336</v>
      </c>
      <c r="AI424" s="373">
        <f t="shared" ref="AI424:AY424" si="394">AI417/AI429</f>
        <v>0.38519097784679368</v>
      </c>
      <c r="AJ424" s="106">
        <f t="shared" si="394"/>
        <v>-0.26631520304940559</v>
      </c>
      <c r="AK424" s="373">
        <f t="shared" si="394"/>
        <v>-0.5796403239512341</v>
      </c>
      <c r="AL424" s="782">
        <f t="shared" si="394"/>
        <v>-0.2247002615281857</v>
      </c>
      <c r="AM424" s="782">
        <f t="shared" si="394"/>
        <v>0.37173913043478263</v>
      </c>
      <c r="AN424" s="373">
        <f t="shared" si="394"/>
        <v>0.41290802139037386</v>
      </c>
      <c r="AO424" s="106">
        <f t="shared" si="394"/>
        <v>3.1638418079096044E-2</v>
      </c>
      <c r="AP424" s="373">
        <f t="shared" si="394"/>
        <v>0.22814070351758794</v>
      </c>
      <c r="AQ424" s="782">
        <f t="shared" si="394"/>
        <v>0.43574879227053143</v>
      </c>
      <c r="AR424" s="782">
        <f>AR417/AR429</f>
        <v>0.76289592760180991</v>
      </c>
      <c r="AS424" s="373">
        <f>AS417/AS429</f>
        <v>0.80338078291814952</v>
      </c>
      <c r="AT424" s="106">
        <f>AT417/AT429</f>
        <v>2.2382271468144044</v>
      </c>
      <c r="AU424" s="373">
        <f t="shared" ref="AU424" si="395">AU417/AU429</f>
        <v>0.9329214474845543</v>
      </c>
      <c r="AV424" s="782">
        <f>AV417/AV429</f>
        <v>1.4459338695263628</v>
      </c>
      <c r="AW424" s="1001">
        <f>AW417/AW429</f>
        <v>1.8646482635796973</v>
      </c>
      <c r="AX424" s="247">
        <f t="shared" ca="1" si="394"/>
        <v>1.8845446156788652</v>
      </c>
      <c r="AY424" s="253">
        <f t="shared" ca="1" si="394"/>
        <v>6.1230267704823165</v>
      </c>
      <c r="AZ424" s="247">
        <f t="shared" ref="AZ424:BG424" ca="1" si="396">AZ417/AZ429</f>
        <v>2.4363914742377668</v>
      </c>
      <c r="BA424" s="247">
        <f t="shared" ca="1" si="396"/>
        <v>2.7586038280335554</v>
      </c>
      <c r="BB424" s="247">
        <f t="shared" ca="1" si="396"/>
        <v>3.4206947228733711</v>
      </c>
      <c r="BC424" s="247">
        <f t="shared" ca="1" si="396"/>
        <v>3.3520119565853741</v>
      </c>
      <c r="BD424" s="253">
        <f t="shared" ca="1" si="396"/>
        <v>11.967701981730068</v>
      </c>
      <c r="BE424" s="253">
        <f t="shared" ca="1" si="396"/>
        <v>14.485614275472546</v>
      </c>
      <c r="BF424" s="253">
        <f t="shared" ca="1" si="396"/>
        <v>17.08608175494517</v>
      </c>
      <c r="BG424" s="253">
        <f t="shared" ca="1" si="396"/>
        <v>21.039142958105138</v>
      </c>
      <c r="BH424" s="373"/>
    </row>
    <row r="425" spans="1:60" s="181" customFormat="1" x14ac:dyDescent="0.25">
      <c r="A425" s="228" t="str">
        <f>CONCATENATE("Consensus Estimates - ",IFERROR(LEFT(A424,FIND("(",A424)-1),A424))</f>
        <v>Consensus Estimates - Adjusted Earnings Per Share - WAD</v>
      </c>
      <c r="B425" s="238"/>
      <c r="C425" s="183"/>
      <c r="D425" s="183"/>
      <c r="E425" s="183"/>
      <c r="F425" s="183"/>
      <c r="G425" s="374"/>
      <c r="H425" s="374"/>
      <c r="I425" s="374"/>
      <c r="J425" s="374"/>
      <c r="K425" s="183"/>
      <c r="L425" s="374"/>
      <c r="M425" s="374"/>
      <c r="N425" s="374"/>
      <c r="O425" s="374"/>
      <c r="P425" s="183"/>
      <c r="Q425" s="374"/>
      <c r="R425" s="374"/>
      <c r="S425" s="374"/>
      <c r="T425" s="374"/>
      <c r="U425" s="183"/>
      <c r="V425" s="374"/>
      <c r="W425" s="179"/>
      <c r="X425" s="179"/>
      <c r="Y425" s="179"/>
      <c r="Z425" s="180"/>
      <c r="AA425" s="374"/>
      <c r="AB425" s="179"/>
      <c r="AC425" s="179"/>
      <c r="AD425" s="179"/>
      <c r="AE425" s="180"/>
      <c r="AF425" s="374"/>
      <c r="AG425" s="179"/>
      <c r="AH425" s="179"/>
      <c r="AI425" s="179"/>
      <c r="AJ425" s="180"/>
      <c r="AK425" s="374"/>
      <c r="AL425" s="179"/>
      <c r="AM425" s="179"/>
      <c r="AN425" s="179"/>
      <c r="AO425" s="180"/>
      <c r="AP425" s="374"/>
      <c r="AQ425" s="179"/>
      <c r="AR425" s="179"/>
      <c r="AS425" s="179"/>
      <c r="AT425" s="180"/>
      <c r="AU425" s="374"/>
      <c r="AV425" s="179"/>
      <c r="AW425" s="802"/>
      <c r="AX425" s="374" t="str">
        <f t="shared" ref="AX425:BD425" ca="1" si="397">IFERROR(VLOOKUP($A425,tb_ConsensusEstimate,MATCH(AX$5,OFFSET(tb_ConsensusEstimate,0,0,1,COLUMNS(tb_ConsensusEstimate)),0),FALSE),"-")</f>
        <v>N/A</v>
      </c>
      <c r="AY425" s="180" t="str">
        <f t="shared" ca="1" si="397"/>
        <v>N/A</v>
      </c>
      <c r="AZ425" s="374" t="str">
        <f t="shared" ca="1" si="397"/>
        <v>N/A</v>
      </c>
      <c r="BA425" s="374" t="str">
        <f t="shared" ca="1" si="397"/>
        <v>N/A</v>
      </c>
      <c r="BB425" s="374" t="str">
        <f t="shared" ca="1" si="397"/>
        <v>N/A</v>
      </c>
      <c r="BC425" s="374" t="str">
        <f t="shared" ca="1" si="397"/>
        <v>N/A</v>
      </c>
      <c r="BD425" s="180" t="str">
        <f t="shared" ca="1" si="397"/>
        <v>N/A</v>
      </c>
      <c r="BE425" s="180" t="str">
        <f ca="1">IFERROR(VLOOKUP(A425,tb_ConsensusEstimate,MATCH(BE5,OFFSET(tb_ConsensusEstimate,0,0,1,COLUMNS(tb_ConsensusEstimate)),0),FALSE),"-")</f>
        <v>N/A</v>
      </c>
      <c r="BF425" s="180" t="str">
        <f ca="1">IFERROR(VLOOKUP(A425,tb_ConsensusEstimate,MATCH(BF5,OFFSET(tb_ConsensusEstimate,0,0,1,COLUMNS(tb_ConsensusEstimate)),0),FALSE),"-")</f>
        <v>N/A</v>
      </c>
      <c r="BG425" s="180" t="str">
        <f ca="1">IFERROR(VLOOKUP(A425,tb_ConsensusEstimate,MATCH(BG5,OFFSET(tb_ConsensusEstimate,0,0,1,COLUMNS(tb_ConsensusEstimate)),0),FALSE),"-")</f>
        <v>N/A</v>
      </c>
      <c r="BH425" s="374"/>
    </row>
    <row r="426" spans="1:60" s="109" customFormat="1" x14ac:dyDescent="0.25">
      <c r="A426" s="1021"/>
      <c r="B426" s="214"/>
      <c r="C426" s="1051"/>
      <c r="D426" s="1051"/>
      <c r="E426" s="1051"/>
      <c r="F426" s="1051"/>
      <c r="G426" s="1052"/>
      <c r="H426" s="1052"/>
      <c r="I426" s="1052"/>
      <c r="J426" s="1052"/>
      <c r="K426" s="1051"/>
      <c r="L426" s="1052"/>
      <c r="M426" s="1052"/>
      <c r="N426" s="1052"/>
      <c r="O426" s="1052"/>
      <c r="P426" s="1051"/>
      <c r="Q426" s="1052"/>
      <c r="R426" s="1052"/>
      <c r="S426" s="1052"/>
      <c r="T426" s="1052"/>
      <c r="U426" s="1051"/>
      <c r="V426" s="1052"/>
      <c r="W426" s="1052"/>
      <c r="X426" s="1052"/>
      <c r="Y426" s="1052"/>
      <c r="Z426" s="1051"/>
      <c r="AA426" s="1052"/>
      <c r="AB426" s="1052"/>
      <c r="AC426" s="1052"/>
      <c r="AD426" s="1052"/>
      <c r="AE426" s="1051"/>
      <c r="AF426" s="1052"/>
      <c r="AG426" s="1052"/>
      <c r="AH426" s="1052"/>
      <c r="AI426" s="1052"/>
      <c r="AJ426" s="1051"/>
      <c r="AK426" s="1052"/>
      <c r="AL426" s="1052"/>
      <c r="AM426" s="1052"/>
      <c r="AN426" s="1052"/>
      <c r="AO426" s="1051"/>
      <c r="AP426" s="1052"/>
      <c r="AQ426" s="1052"/>
      <c r="AR426" s="1052"/>
      <c r="AS426" s="1052"/>
      <c r="AT426" s="1051"/>
      <c r="AU426" s="1052"/>
      <c r="AV426" s="1052"/>
      <c r="AW426" s="1053"/>
      <c r="AX426" s="1052"/>
      <c r="AY426" s="1051"/>
      <c r="AZ426" s="1052"/>
      <c r="BA426" s="1052"/>
      <c r="BB426" s="1052"/>
      <c r="BC426" s="1052"/>
      <c r="BD426" s="1051"/>
      <c r="BE426" s="1051"/>
      <c r="BF426" s="1051"/>
      <c r="BG426" s="1051"/>
      <c r="BH426" s="1024"/>
    </row>
    <row r="427" spans="1:60" s="356" customFormat="1" x14ac:dyDescent="0.25">
      <c r="A427" s="361" t="s">
        <v>144</v>
      </c>
      <c r="B427" s="450"/>
      <c r="C427" s="35">
        <f>7.021963*5</f>
        <v>35.109815000000005</v>
      </c>
      <c r="D427" s="35">
        <f>50.718302*5</f>
        <v>253.59151</v>
      </c>
      <c r="E427" s="35">
        <f>100.389*5</f>
        <v>501.94499999999999</v>
      </c>
      <c r="F427" s="35">
        <f>107.349*5</f>
        <v>536.745</v>
      </c>
      <c r="G427" s="361">
        <f>114.712*5</f>
        <v>573.56000000000006</v>
      </c>
      <c r="H427" s="361">
        <f>118.193608*5</f>
        <v>590.96803999999997</v>
      </c>
      <c r="I427" s="361">
        <f>121.862497*5</f>
        <v>609.31248500000004</v>
      </c>
      <c r="J427" s="361">
        <f>122.802*5</f>
        <v>614.01</v>
      </c>
      <c r="K427" s="35">
        <f>119.421*5</f>
        <v>597.10500000000002</v>
      </c>
      <c r="L427" s="361">
        <f>123.472782*5</f>
        <v>617.36391000000003</v>
      </c>
      <c r="M427" s="361">
        <f>124.250428*5</f>
        <v>621.25214000000005</v>
      </c>
      <c r="N427" s="361">
        <f>124.911*5</f>
        <v>624.55500000000006</v>
      </c>
      <c r="O427" s="361">
        <f>125.497*5</f>
        <v>627.48500000000001</v>
      </c>
      <c r="P427" s="35">
        <f>124.539*5</f>
        <v>622.69500000000005</v>
      </c>
      <c r="Q427" s="361">
        <f>125.947*5</f>
        <v>629.73500000000001</v>
      </c>
      <c r="R427" s="361">
        <f>126.688755*5</f>
        <v>633.44377499999996</v>
      </c>
      <c r="S427" s="361">
        <f>129.006*5</f>
        <v>645.03</v>
      </c>
      <c r="T427" s="361">
        <f>131.1*5</f>
        <v>655.5</v>
      </c>
      <c r="U427" s="35">
        <f>128.202*5</f>
        <v>641.01</v>
      </c>
      <c r="V427" s="361">
        <f>132.676*5</f>
        <v>663.37999999999988</v>
      </c>
      <c r="W427" s="36">
        <f>139.983*5</f>
        <v>699.91499999999996</v>
      </c>
      <c r="X427" s="36">
        <f>148.991*5</f>
        <v>744.95500000000004</v>
      </c>
      <c r="Y427" s="361">
        <f>155.024*5</f>
        <v>775.12</v>
      </c>
      <c r="Z427" s="35">
        <f>144.212*5</f>
        <v>721.06</v>
      </c>
      <c r="AA427" s="361">
        <f>162.129*5</f>
        <v>810.64499999999998</v>
      </c>
      <c r="AB427" s="36">
        <f>165.212*5</f>
        <v>826.06</v>
      </c>
      <c r="AC427" s="36">
        <f>167.294*5</f>
        <v>836.47</v>
      </c>
      <c r="AD427" s="361">
        <f>168.314*5</f>
        <v>841.56999999999994</v>
      </c>
      <c r="AE427" s="35">
        <f>165.758*5</f>
        <v>828.79000000000008</v>
      </c>
      <c r="AF427" s="361">
        <f>169.146*5</f>
        <v>845.7299999999999</v>
      </c>
      <c r="AG427" s="36">
        <f>169.997*5</f>
        <v>849.98500000000013</v>
      </c>
      <c r="AH427" s="36">
        <f>170.893*5</f>
        <v>854.46500000000003</v>
      </c>
      <c r="AI427" s="361">
        <f>172.026*5</f>
        <v>860.13000000000011</v>
      </c>
      <c r="AJ427" s="35">
        <f>170.525*5</f>
        <v>852.625</v>
      </c>
      <c r="AK427" s="361">
        <f>172.989*5</f>
        <v>864.94500000000005</v>
      </c>
      <c r="AL427" s="36">
        <f>176.654*5</f>
        <v>883.27</v>
      </c>
      <c r="AM427" s="36">
        <f>179*5</f>
        <v>895</v>
      </c>
      <c r="AN427" s="361">
        <f>180*5</f>
        <v>900</v>
      </c>
      <c r="AO427" s="35">
        <f>177*5</f>
        <v>885</v>
      </c>
      <c r="AP427" s="361">
        <f>183*5</f>
        <v>915</v>
      </c>
      <c r="AQ427" s="36">
        <f>186*5</f>
        <v>930</v>
      </c>
      <c r="AR427" s="36">
        <v>937</v>
      </c>
      <c r="AS427" s="361">
        <v>951</v>
      </c>
      <c r="AT427" s="440">
        <v>933</v>
      </c>
      <c r="AU427" s="361">
        <v>961</v>
      </c>
      <c r="AV427" s="36">
        <v>971</v>
      </c>
      <c r="AW427" s="792">
        <v>998</v>
      </c>
      <c r="AX427" s="439">
        <f ca="1">AW427+AX443/(AX444/AX484)</f>
        <v>998</v>
      </c>
      <c r="AY427" s="440">
        <f ca="1">AVERAGE(AU427,AV427,AW427,AX427)</f>
        <v>982</v>
      </c>
      <c r="AZ427" s="439">
        <f ca="1">AX427+AZ443/(AZ444/AZ484)</f>
        <v>998</v>
      </c>
      <c r="BA427" s="439">
        <f ca="1">AZ427+BA443/(BA444/BA484)</f>
        <v>998</v>
      </c>
      <c r="BB427" s="439">
        <f ca="1">BA427+BB443/(BB444/BB484)</f>
        <v>998</v>
      </c>
      <c r="BC427" s="439">
        <f ca="1">BB427+BC443/(BC444/BC484)</f>
        <v>998</v>
      </c>
      <c r="BD427" s="440">
        <f ca="1">AVERAGE(AZ427,BA427,BB427,BC427)</f>
        <v>998</v>
      </c>
      <c r="BE427" s="440">
        <f ca="1">BC427+BE443/(BE444/BE484)</f>
        <v>998</v>
      </c>
      <c r="BF427" s="440">
        <f ca="1">BE427+BF443/(BF444/BF484)</f>
        <v>998</v>
      </c>
      <c r="BG427" s="440">
        <f ca="1">BF427+BG443/(BG444/BG484)</f>
        <v>998</v>
      </c>
      <c r="BH427" s="361"/>
    </row>
    <row r="428" spans="1:60" s="356" customFormat="1" x14ac:dyDescent="0.25">
      <c r="A428" s="361" t="s">
        <v>145</v>
      </c>
      <c r="B428" s="450"/>
      <c r="C428" s="35">
        <f>7.021963*5</f>
        <v>35.109815000000005</v>
      </c>
      <c r="D428" s="35">
        <f>50.718302*5</f>
        <v>253.59151</v>
      </c>
      <c r="E428" s="35">
        <f>100.389*5</f>
        <v>501.94499999999999</v>
      </c>
      <c r="F428" s="35">
        <f>107.349*5</f>
        <v>536.745</v>
      </c>
      <c r="G428" s="361">
        <f>124.265292*5</f>
        <v>621.32646</v>
      </c>
      <c r="H428" s="361">
        <f>118.193608*5</f>
        <v>590.96803999999997</v>
      </c>
      <c r="I428" s="361">
        <f>121.862497*5</f>
        <v>609.31248500000004</v>
      </c>
      <c r="J428" s="361">
        <f>122.802*5</f>
        <v>614.01</v>
      </c>
      <c r="K428" s="35">
        <f>119.421*5</f>
        <v>597.10500000000002</v>
      </c>
      <c r="L428" s="361">
        <f>123.472782*5</f>
        <v>617.36391000000003</v>
      </c>
      <c r="M428" s="361">
        <f>124.250428*5</f>
        <v>621.25214000000005</v>
      </c>
      <c r="N428" s="361">
        <f>124.911*5</f>
        <v>624.55500000000006</v>
      </c>
      <c r="O428" s="361">
        <f>125.497*5</f>
        <v>627.48500000000001</v>
      </c>
      <c r="P428" s="35">
        <f>124.539*5</f>
        <v>622.69500000000005</v>
      </c>
      <c r="Q428" s="361">
        <f>125.947*5</f>
        <v>629.73500000000001</v>
      </c>
      <c r="R428" s="361">
        <f>126.688755*5</f>
        <v>633.44377499999996</v>
      </c>
      <c r="S428" s="361">
        <f>129.006*5</f>
        <v>645.03</v>
      </c>
      <c r="T428" s="361">
        <f>131.1*5</f>
        <v>655.5</v>
      </c>
      <c r="U428" s="35">
        <f>128.202*5</f>
        <v>641.01</v>
      </c>
      <c r="V428" s="361">
        <f>132.676*5</f>
        <v>663.37999999999988</v>
      </c>
      <c r="W428" s="36">
        <f>139.983*5</f>
        <v>699.91499999999996</v>
      </c>
      <c r="X428" s="36">
        <f>156.935*5</f>
        <v>784.67499999999995</v>
      </c>
      <c r="Y428" s="361">
        <f>155.024*5</f>
        <v>775.12</v>
      </c>
      <c r="Z428" s="35">
        <f>144.212*5</f>
        <v>721.06</v>
      </c>
      <c r="AA428" s="361">
        <f>162.129*5</f>
        <v>810.64499999999998</v>
      </c>
      <c r="AB428" s="36">
        <f>165.212*5</f>
        <v>826.06</v>
      </c>
      <c r="AC428" s="36">
        <f>167.294*5</f>
        <v>836.47</v>
      </c>
      <c r="AD428" s="361">
        <f>168.314*5</f>
        <v>841.56999999999994</v>
      </c>
      <c r="AE428" s="35">
        <f>165.758*5</f>
        <v>828.79000000000008</v>
      </c>
      <c r="AF428" s="361">
        <f>169.146*5</f>
        <v>845.7299999999999</v>
      </c>
      <c r="AG428" s="36">
        <f>169.997*5</f>
        <v>849.98500000000013</v>
      </c>
      <c r="AH428" s="36">
        <f>178.196*5</f>
        <v>890.98</v>
      </c>
      <c r="AI428" s="361">
        <f>179.026*5</f>
        <v>895.13000000000011</v>
      </c>
      <c r="AJ428" s="35">
        <f>170.525*5</f>
        <v>852.625</v>
      </c>
      <c r="AK428" s="361">
        <f>172.989*5</f>
        <v>864.94500000000005</v>
      </c>
      <c r="AL428" s="36">
        <f>176.654*5</f>
        <v>883.27</v>
      </c>
      <c r="AM428" s="36">
        <f>184*5</f>
        <v>920</v>
      </c>
      <c r="AN428" s="361">
        <f>187*5</f>
        <v>935</v>
      </c>
      <c r="AO428" s="35">
        <f>177*5</f>
        <v>885</v>
      </c>
      <c r="AP428" s="361">
        <f>199*5</f>
        <v>995</v>
      </c>
      <c r="AQ428" s="36">
        <f>207*5</f>
        <v>1035</v>
      </c>
      <c r="AR428" s="36">
        <v>1105</v>
      </c>
      <c r="AS428" s="361">
        <v>1124</v>
      </c>
      <c r="AT428" s="35">
        <v>1083</v>
      </c>
      <c r="AU428" s="361">
        <v>1133</v>
      </c>
      <c r="AV428" s="36">
        <v>1119</v>
      </c>
      <c r="AW428" s="792">
        <v>1123</v>
      </c>
      <c r="AX428" s="439">
        <f ca="1">AW428+AX443/(AX444/AX484)</f>
        <v>1123</v>
      </c>
      <c r="AY428" s="440">
        <f ca="1">AVERAGE(AU428,AV428,AW428,AX428)</f>
        <v>1124.5</v>
      </c>
      <c r="AZ428" s="439">
        <f ca="1">AX428+AZ443/(AZ444/AZ484)</f>
        <v>1123</v>
      </c>
      <c r="BA428" s="439">
        <f ca="1">AZ428+BA443/(BA444/BA484)</f>
        <v>1123</v>
      </c>
      <c r="BB428" s="439">
        <f ca="1">BA428+BB443/(BB444/BB484)</f>
        <v>1123</v>
      </c>
      <c r="BC428" s="439">
        <f ca="1">BB428+BC443/(BC444/BC484)</f>
        <v>1123</v>
      </c>
      <c r="BD428" s="440">
        <f ca="1">AVERAGE(AZ428,BA428,BB428,BC428)</f>
        <v>1123</v>
      </c>
      <c r="BE428" s="440">
        <f ca="1">BC428+BE443/(BE444/BE484)</f>
        <v>1123</v>
      </c>
      <c r="BF428" s="440">
        <f ca="1">BE428+BF443/(BF444/BF484)</f>
        <v>1123</v>
      </c>
      <c r="BG428" s="440">
        <f ca="1">BF428+BG443/(BG444/BG484)</f>
        <v>1123</v>
      </c>
      <c r="BH428" s="361"/>
    </row>
    <row r="429" spans="1:60" s="356" customFormat="1" x14ac:dyDescent="0.25">
      <c r="A429" s="361" t="s">
        <v>146</v>
      </c>
      <c r="B429" s="450"/>
      <c r="C429" s="35">
        <f>C428</f>
        <v>35.109815000000005</v>
      </c>
      <c r="D429" s="35">
        <f t="shared" ref="D429:G429" si="398">D428</f>
        <v>253.59151</v>
      </c>
      <c r="E429" s="35">
        <f t="shared" si="398"/>
        <v>501.94499999999999</v>
      </c>
      <c r="F429" s="35">
        <f t="shared" si="398"/>
        <v>536.745</v>
      </c>
      <c r="G429" s="361">
        <f t="shared" si="398"/>
        <v>621.32646</v>
      </c>
      <c r="H429" s="361">
        <f>130.503*5</f>
        <v>652.51499999999987</v>
      </c>
      <c r="I429" s="361">
        <f>137.131*5</f>
        <v>685.65499999999997</v>
      </c>
      <c r="J429" s="361">
        <f>137.784*5</f>
        <v>688.92</v>
      </c>
      <c r="K429" s="35">
        <f>133.546*5</f>
        <v>667.73</v>
      </c>
      <c r="L429" s="361">
        <f>140.221*5</f>
        <v>701.10500000000002</v>
      </c>
      <c r="M429" s="361">
        <f>140.948*5</f>
        <v>704.74</v>
      </c>
      <c r="N429" s="361">
        <f>142.747*5</f>
        <v>713.73500000000013</v>
      </c>
      <c r="O429" s="361">
        <f>O428</f>
        <v>627.48500000000001</v>
      </c>
      <c r="P429" s="35">
        <f>142.221*5</f>
        <v>711.10500000000002</v>
      </c>
      <c r="Q429" s="361">
        <f t="shared" ref="Q429:U429" si="399">Q428</f>
        <v>629.73500000000001</v>
      </c>
      <c r="R429" s="361">
        <f t="shared" si="399"/>
        <v>633.44377499999996</v>
      </c>
      <c r="S429" s="361">
        <f t="shared" si="399"/>
        <v>645.03</v>
      </c>
      <c r="T429" s="361">
        <f t="shared" si="399"/>
        <v>655.5</v>
      </c>
      <c r="U429" s="35">
        <f t="shared" si="399"/>
        <v>641.01</v>
      </c>
      <c r="V429" s="361">
        <f t="shared" ref="V429" si="400">V428</f>
        <v>663.37999999999988</v>
      </c>
      <c r="W429" s="36">
        <f t="shared" ref="W429" si="401">W428</f>
        <v>699.91499999999996</v>
      </c>
      <c r="X429" s="36">
        <f>148.991*5</f>
        <v>744.95500000000004</v>
      </c>
      <c r="Y429" s="361">
        <f>155.024*5</f>
        <v>775.12</v>
      </c>
      <c r="Z429" s="35">
        <f>Z428</f>
        <v>721.06</v>
      </c>
      <c r="AA429" s="361">
        <f>AA428</f>
        <v>810.64499999999998</v>
      </c>
      <c r="AB429" s="36">
        <f t="shared" ref="AB429:AE429" si="402">AB428</f>
        <v>826.06</v>
      </c>
      <c r="AC429" s="36">
        <f t="shared" si="402"/>
        <v>836.47</v>
      </c>
      <c r="AD429" s="361">
        <f t="shared" si="402"/>
        <v>841.56999999999994</v>
      </c>
      <c r="AE429" s="35">
        <f t="shared" si="402"/>
        <v>828.79000000000008</v>
      </c>
      <c r="AF429" s="361">
        <f>AF428</f>
        <v>845.7299999999999</v>
      </c>
      <c r="AG429" s="36">
        <f>AG428</f>
        <v>849.98500000000013</v>
      </c>
      <c r="AH429" s="36">
        <f>AH428</f>
        <v>890.98</v>
      </c>
      <c r="AI429" s="361">
        <f>AI428</f>
        <v>895.13000000000011</v>
      </c>
      <c r="AJ429" s="35">
        <f>AJ428</f>
        <v>852.625</v>
      </c>
      <c r="AK429" s="361">
        <f t="shared" ref="AK429:AQ429" si="403">AK428</f>
        <v>864.94500000000005</v>
      </c>
      <c r="AL429" s="36">
        <f t="shared" si="403"/>
        <v>883.27</v>
      </c>
      <c r="AM429" s="36">
        <f t="shared" si="403"/>
        <v>920</v>
      </c>
      <c r="AN429" s="361">
        <f t="shared" si="403"/>
        <v>935</v>
      </c>
      <c r="AO429" s="35">
        <f t="shared" si="403"/>
        <v>885</v>
      </c>
      <c r="AP429" s="361">
        <f t="shared" si="403"/>
        <v>995</v>
      </c>
      <c r="AQ429" s="36">
        <f t="shared" si="403"/>
        <v>1035</v>
      </c>
      <c r="AR429" s="36">
        <f>AR428</f>
        <v>1105</v>
      </c>
      <c r="AS429" s="361">
        <f>AS428</f>
        <v>1124</v>
      </c>
      <c r="AT429" s="35">
        <f>AT428</f>
        <v>1083</v>
      </c>
      <c r="AU429" s="361">
        <f t="shared" ref="AU429" si="404">AU428</f>
        <v>1133</v>
      </c>
      <c r="AV429" s="36">
        <f>AV428</f>
        <v>1119</v>
      </c>
      <c r="AW429" s="792">
        <f>AW428</f>
        <v>1123</v>
      </c>
      <c r="AX429" s="439">
        <f ca="1">AW429+AX443/(AX444/AX484)</f>
        <v>1123</v>
      </c>
      <c r="AY429" s="440">
        <f ca="1">AVERAGE(AU429,AV429,AW429,AX429)</f>
        <v>1124.5</v>
      </c>
      <c r="AZ429" s="439">
        <f ca="1">AX429+AZ443/(AZ444/AZ484)</f>
        <v>1123</v>
      </c>
      <c r="BA429" s="439">
        <f ca="1">AZ429+BA443/(BA444/BA484)</f>
        <v>1123</v>
      </c>
      <c r="BB429" s="439">
        <f ca="1">BA429+BB443/(BB444/BB484)</f>
        <v>1123</v>
      </c>
      <c r="BC429" s="439">
        <f ca="1">BB429+BC443/(BC444/BC484)</f>
        <v>1123</v>
      </c>
      <c r="BD429" s="440">
        <f ca="1">AVERAGE(AZ429,BA429,BB429,BC429)</f>
        <v>1123</v>
      </c>
      <c r="BE429" s="440">
        <f ca="1">BC429+BE443/(BE444/BE484)</f>
        <v>1123</v>
      </c>
      <c r="BF429" s="440">
        <f ca="1">BE429+BF443/(BF444/BF484)</f>
        <v>1123</v>
      </c>
      <c r="BG429" s="440">
        <f ca="1">BF429+BG443/(BG444/BG484)</f>
        <v>1123</v>
      </c>
      <c r="BH429" s="361"/>
    </row>
    <row r="430" spans="1:60" s="109" customFormat="1" x14ac:dyDescent="0.25">
      <c r="A430" s="214"/>
      <c r="B430" s="214"/>
      <c r="C430" s="1051"/>
      <c r="D430" s="1051"/>
      <c r="E430" s="1051"/>
      <c r="F430" s="1051"/>
      <c r="G430" s="1052"/>
      <c r="H430" s="1052"/>
      <c r="I430" s="1052"/>
      <c r="J430" s="1052"/>
      <c r="K430" s="1051"/>
      <c r="L430" s="1052"/>
      <c r="M430" s="1052"/>
      <c r="N430" s="1052"/>
      <c r="O430" s="1052"/>
      <c r="P430" s="1051"/>
      <c r="Q430" s="1052"/>
      <c r="R430" s="1052"/>
      <c r="S430" s="1052"/>
      <c r="T430" s="1052"/>
      <c r="U430" s="1051"/>
      <c r="V430" s="1052"/>
      <c r="W430" s="1052"/>
      <c r="X430" s="1052"/>
      <c r="Y430" s="1052"/>
      <c r="Z430" s="1051"/>
      <c r="AA430" s="1052"/>
      <c r="AB430" s="1052"/>
      <c r="AC430" s="1052"/>
      <c r="AD430" s="1052"/>
      <c r="AE430" s="1051"/>
      <c r="AF430" s="1052"/>
      <c r="AG430" s="1052"/>
      <c r="AH430" s="1052"/>
      <c r="AI430" s="1052"/>
      <c r="AJ430" s="1051"/>
      <c r="AK430" s="1052"/>
      <c r="AL430" s="1052"/>
      <c r="AM430" s="1052"/>
      <c r="AN430" s="1052"/>
      <c r="AO430" s="1051"/>
      <c r="AP430" s="1052"/>
      <c r="AQ430" s="1052"/>
      <c r="AR430" s="1052"/>
      <c r="AS430" s="1052"/>
      <c r="AT430" s="1051"/>
      <c r="AU430" s="1052"/>
      <c r="AV430" s="1052"/>
      <c r="AW430" s="1053"/>
      <c r="AX430" s="1052"/>
      <c r="AY430" s="1051"/>
      <c r="AZ430" s="1052"/>
      <c r="BA430" s="1052"/>
      <c r="BB430" s="1052"/>
      <c r="BC430" s="1052"/>
      <c r="BD430" s="1051"/>
      <c r="BE430" s="1051"/>
      <c r="BF430" s="1051"/>
      <c r="BG430" s="1051"/>
      <c r="BH430" s="1024"/>
    </row>
    <row r="431" spans="1:60" s="112" customFormat="1" x14ac:dyDescent="0.25">
      <c r="A431" s="1020" t="s">
        <v>147</v>
      </c>
      <c r="B431" s="1020"/>
      <c r="C431" s="1043"/>
      <c r="D431" s="1043"/>
      <c r="E431" s="1043"/>
      <c r="F431" s="1043"/>
      <c r="G431" s="1043"/>
      <c r="H431" s="1043"/>
      <c r="I431" s="1043"/>
      <c r="J431" s="1043"/>
      <c r="K431" s="1043"/>
      <c r="L431" s="1043"/>
      <c r="M431" s="1043"/>
      <c r="N431" s="1043"/>
      <c r="O431" s="1043"/>
      <c r="P431" s="1043"/>
      <c r="Q431" s="1043"/>
      <c r="R431" s="1043"/>
      <c r="S431" s="1043"/>
      <c r="T431" s="1043"/>
      <c r="U431" s="1043"/>
      <c r="V431" s="1043"/>
      <c r="W431" s="1043"/>
      <c r="X431" s="1043"/>
      <c r="Y431" s="1043"/>
      <c r="Z431" s="1043"/>
      <c r="AA431" s="1043"/>
      <c r="AB431" s="1043"/>
      <c r="AC431" s="1043"/>
      <c r="AD431" s="1043"/>
      <c r="AE431" s="1043"/>
      <c r="AF431" s="1043"/>
      <c r="AG431" s="1043"/>
      <c r="AH431" s="1043"/>
      <c r="AI431" s="1043"/>
      <c r="AJ431" s="1043"/>
      <c r="AK431" s="1043"/>
      <c r="AL431" s="1043"/>
      <c r="AM431" s="1043"/>
      <c r="AN431" s="1043"/>
      <c r="AO431" s="1043"/>
      <c r="AP431" s="1043"/>
      <c r="AQ431" s="1043"/>
      <c r="AR431" s="1043"/>
      <c r="AS431" s="1043"/>
      <c r="AT431" s="1043"/>
      <c r="AU431" s="1043"/>
      <c r="AV431" s="1043"/>
      <c r="AW431" s="1044"/>
      <c r="AX431" s="1043"/>
      <c r="AY431" s="1043"/>
      <c r="AZ431" s="1043"/>
      <c r="BA431" s="1043"/>
      <c r="BB431" s="1043"/>
      <c r="BC431" s="1043"/>
      <c r="BD431" s="1043"/>
      <c r="BE431" s="1043"/>
      <c r="BF431" s="1043"/>
      <c r="BG431" s="1043"/>
      <c r="BH431" s="1034"/>
    </row>
    <row r="432" spans="1:60" s="356" customFormat="1" x14ac:dyDescent="0.25">
      <c r="A432" s="361" t="s">
        <v>148</v>
      </c>
      <c r="B432" s="450"/>
      <c r="C432" s="35">
        <f t="shared" ref="C432:AH432" si="405">C600</f>
        <v>-43.282000000000004</v>
      </c>
      <c r="D432" s="35">
        <f t="shared" si="405"/>
        <v>-116.56800000000001</v>
      </c>
      <c r="E432" s="35">
        <f t="shared" si="405"/>
        <v>-203.26199999999997</v>
      </c>
      <c r="F432" s="35">
        <f t="shared" si="405"/>
        <v>-308.90000000000009</v>
      </c>
      <c r="G432" s="361">
        <f t="shared" si="405"/>
        <v>35.196000000000005</v>
      </c>
      <c r="H432" s="361">
        <f t="shared" si="405"/>
        <v>27.118999999999996</v>
      </c>
      <c r="I432" s="361">
        <f t="shared" si="405"/>
        <v>16.980000000000011</v>
      </c>
      <c r="J432" s="361">
        <f t="shared" si="405"/>
        <v>36.550999999999988</v>
      </c>
      <c r="K432" s="35">
        <f t="shared" si="405"/>
        <v>115.84599999999999</v>
      </c>
      <c r="L432" s="361">
        <f t="shared" si="405"/>
        <v>42.228999999999999</v>
      </c>
      <c r="M432" s="361">
        <f t="shared" si="405"/>
        <v>63.582999999999998</v>
      </c>
      <c r="N432" s="361">
        <f t="shared" si="405"/>
        <v>66.689000000000007</v>
      </c>
      <c r="O432" s="361">
        <f t="shared" si="405"/>
        <v>26.986999999999981</v>
      </c>
      <c r="P432" s="35">
        <f t="shared" si="405"/>
        <v>199.488</v>
      </c>
      <c r="Q432" s="361">
        <f t="shared" si="405"/>
        <v>23.390999999999988</v>
      </c>
      <c r="R432" s="361">
        <f t="shared" si="405"/>
        <v>-29.464999999999996</v>
      </c>
      <c r="S432" s="361">
        <f t="shared" si="405"/>
        <v>-10.89299999999993</v>
      </c>
      <c r="T432" s="361">
        <f t="shared" si="405"/>
        <v>-14.243000000000094</v>
      </c>
      <c r="U432" s="35">
        <f t="shared" si="405"/>
        <v>-31.210000000000093</v>
      </c>
      <c r="V432" s="361">
        <f t="shared" si="405"/>
        <v>21.424000000000007</v>
      </c>
      <c r="W432" s="36">
        <f t="shared" si="405"/>
        <v>-9.1480000000000459</v>
      </c>
      <c r="X432" s="36">
        <f t="shared" si="405"/>
        <v>459.37</v>
      </c>
      <c r="Y432" s="361">
        <f t="shared" si="405"/>
        <v>98.386000000000053</v>
      </c>
      <c r="Z432" s="35">
        <f t="shared" si="405"/>
        <v>570.03200000000004</v>
      </c>
      <c r="AA432" s="361">
        <f t="shared" si="405"/>
        <v>192.96899999999997</v>
      </c>
      <c r="AB432" s="36">
        <f t="shared" si="405"/>
        <v>280.92100000000005</v>
      </c>
      <c r="AC432" s="36">
        <f t="shared" si="405"/>
        <v>-50.794000000000118</v>
      </c>
      <c r="AD432" s="361">
        <f t="shared" si="405"/>
        <v>12.852999999999966</v>
      </c>
      <c r="AE432" s="35">
        <f t="shared" si="405"/>
        <v>435.9489999999999</v>
      </c>
      <c r="AF432" s="361">
        <f t="shared" si="405"/>
        <v>-72.949999999999932</v>
      </c>
      <c r="AG432" s="36">
        <f t="shared" si="405"/>
        <v>37.32499999999991</v>
      </c>
      <c r="AH432" s="36">
        <f t="shared" si="405"/>
        <v>1039.9630000000002</v>
      </c>
      <c r="AI432" s="361">
        <f t="shared" ref="AI432:AY432" si="406">AI600</f>
        <v>1035.5129999999997</v>
      </c>
      <c r="AJ432" s="35">
        <f t="shared" si="406"/>
        <v>2039.8509999999997</v>
      </c>
      <c r="AK432" s="361">
        <f t="shared" si="406"/>
        <v>36.495000000000019</v>
      </c>
      <c r="AL432" s="36">
        <f t="shared" si="406"/>
        <v>576.45799999999997</v>
      </c>
      <c r="AM432" s="36">
        <f t="shared" si="406"/>
        <v>947.04700000000003</v>
      </c>
      <c r="AN432" s="361">
        <f t="shared" si="406"/>
        <v>1194</v>
      </c>
      <c r="AO432" s="35">
        <f t="shared" si="406"/>
        <v>2754</v>
      </c>
      <c r="AP432" s="361">
        <f t="shared" si="406"/>
        <v>1007</v>
      </c>
      <c r="AQ432" s="36">
        <f t="shared" si="406"/>
        <v>1210</v>
      </c>
      <c r="AR432" s="36">
        <f>AR600</f>
        <v>1765</v>
      </c>
      <c r="AS432" s="361">
        <f>AS600</f>
        <v>1777</v>
      </c>
      <c r="AT432" s="35">
        <f>AT600</f>
        <v>5759</v>
      </c>
      <c r="AU432" s="361">
        <f t="shared" ref="AU432" si="407">AU600</f>
        <v>1653</v>
      </c>
      <c r="AV432" s="36">
        <f>AV600</f>
        <v>2448</v>
      </c>
      <c r="AW432" s="792">
        <f>AW600</f>
        <v>3148</v>
      </c>
      <c r="AX432" s="439">
        <f t="shared" si="406"/>
        <v>2882.4154390238041</v>
      </c>
      <c r="AY432" s="440">
        <f t="shared" si="406"/>
        <v>10131.415439023804</v>
      </c>
      <c r="AZ432" s="439">
        <f t="shared" ref="AZ432:BG432" ca="1" si="408">AZ600</f>
        <v>3551.9556413243135</v>
      </c>
      <c r="BA432" s="439">
        <f t="shared" ca="1" si="408"/>
        <v>3945.783307658357</v>
      </c>
      <c r="BB432" s="439">
        <f t="shared" ca="1" si="408"/>
        <v>4870.6740736682104</v>
      </c>
      <c r="BC432" s="439">
        <f t="shared" ca="1" si="408"/>
        <v>4816.3353086416855</v>
      </c>
      <c r="BD432" s="440">
        <f t="shared" ca="1" si="408"/>
        <v>17184.748331292569</v>
      </c>
      <c r="BE432" s="440">
        <f t="shared" ca="1" si="408"/>
        <v>20539.851790473938</v>
      </c>
      <c r="BF432" s="440">
        <f t="shared" ca="1" si="408"/>
        <v>24599.208737247034</v>
      </c>
      <c r="BG432" s="440">
        <f t="shared" ca="1" si="408"/>
        <v>29325.721244325301</v>
      </c>
      <c r="BH432" s="361"/>
    </row>
    <row r="433" spans="1:60" s="119" customFormat="1" x14ac:dyDescent="0.25">
      <c r="A433" s="229" t="s">
        <v>149</v>
      </c>
      <c r="B433" s="657"/>
      <c r="C433" s="239">
        <f t="shared" ref="C433:AH433" si="409">C432/C428</f>
        <v>-1.2327606966883762</v>
      </c>
      <c r="D433" s="239">
        <f t="shared" si="409"/>
        <v>-0.45966838558593703</v>
      </c>
      <c r="E433" s="170">
        <f t="shared" si="409"/>
        <v>-0.40494874936497022</v>
      </c>
      <c r="F433" s="170">
        <f t="shared" si="409"/>
        <v>-0.57550605967451973</v>
      </c>
      <c r="G433" s="164">
        <f t="shared" si="409"/>
        <v>5.6646549384038798E-2</v>
      </c>
      <c r="H433" s="164">
        <f t="shared" si="409"/>
        <v>4.5889114409638797E-2</v>
      </c>
      <c r="I433" s="164">
        <f t="shared" si="409"/>
        <v>2.7867474273073546E-2</v>
      </c>
      <c r="J433" s="164">
        <f t="shared" si="409"/>
        <v>5.9528346443868972E-2</v>
      </c>
      <c r="K433" s="170">
        <f t="shared" si="409"/>
        <v>0.19401277832207064</v>
      </c>
      <c r="L433" s="164">
        <f t="shared" si="409"/>
        <v>6.8402119586161103E-2</v>
      </c>
      <c r="M433" s="164">
        <f t="shared" si="409"/>
        <v>0.10234652873791307</v>
      </c>
      <c r="N433" s="164">
        <f t="shared" si="409"/>
        <v>0.10677842623948251</v>
      </c>
      <c r="O433" s="164">
        <f t="shared" si="409"/>
        <v>4.300819939918879E-2</v>
      </c>
      <c r="P433" s="170">
        <f t="shared" si="409"/>
        <v>0.3203622961481945</v>
      </c>
      <c r="Q433" s="164">
        <f t="shared" si="409"/>
        <v>3.7144195574328867E-2</v>
      </c>
      <c r="R433" s="164">
        <f t="shared" si="409"/>
        <v>-4.6515572751504267E-2</v>
      </c>
      <c r="S433" s="164">
        <f t="shared" si="409"/>
        <v>-1.6887586623877852E-2</v>
      </c>
      <c r="T433" s="164">
        <f t="shared" si="409"/>
        <v>-2.1728451563691981E-2</v>
      </c>
      <c r="U433" s="170">
        <f t="shared" si="409"/>
        <v>-4.8688788006427501E-2</v>
      </c>
      <c r="V433" s="164">
        <f t="shared" si="409"/>
        <v>3.2295215411981083E-2</v>
      </c>
      <c r="W433" s="162">
        <f t="shared" si="409"/>
        <v>-1.3070158519248832E-2</v>
      </c>
      <c r="X433" s="162">
        <f t="shared" si="409"/>
        <v>0.58542708764775231</v>
      </c>
      <c r="Y433" s="164">
        <f t="shared" si="409"/>
        <v>0.12693002373825996</v>
      </c>
      <c r="Z433" s="170">
        <f t="shared" si="409"/>
        <v>0.79054724988211811</v>
      </c>
      <c r="AA433" s="164">
        <f t="shared" si="409"/>
        <v>0.23804377995300036</v>
      </c>
      <c r="AB433" s="162">
        <f t="shared" si="409"/>
        <v>0.34007336028859897</v>
      </c>
      <c r="AC433" s="162">
        <f t="shared" si="409"/>
        <v>-6.0724233983287045E-2</v>
      </c>
      <c r="AD433" s="164">
        <f t="shared" si="409"/>
        <v>1.5272645175089377E-2</v>
      </c>
      <c r="AE433" s="170">
        <f t="shared" si="409"/>
        <v>0.52600658791732513</v>
      </c>
      <c r="AF433" s="164">
        <f t="shared" si="409"/>
        <v>-8.6256843200548564E-2</v>
      </c>
      <c r="AG433" s="162">
        <f t="shared" si="409"/>
        <v>4.3912539633052236E-2</v>
      </c>
      <c r="AH433" s="162">
        <f t="shared" si="409"/>
        <v>1.1672125075759279</v>
      </c>
      <c r="AI433" s="164">
        <f t="shared" ref="AI433:AY433" si="410">AI432/AI428</f>
        <v>1.1568297342285474</v>
      </c>
      <c r="AJ433" s="170">
        <f t="shared" si="410"/>
        <v>2.3924362996628057</v>
      </c>
      <c r="AK433" s="164">
        <f t="shared" si="410"/>
        <v>4.2193434264606436E-2</v>
      </c>
      <c r="AL433" s="162">
        <f t="shared" si="410"/>
        <v>0.65264075537491362</v>
      </c>
      <c r="AM433" s="162">
        <f t="shared" si="410"/>
        <v>1.0293989130434782</v>
      </c>
      <c r="AN433" s="164">
        <f t="shared" si="410"/>
        <v>1.277005347593583</v>
      </c>
      <c r="AO433" s="170">
        <f t="shared" si="410"/>
        <v>3.1118644067796608</v>
      </c>
      <c r="AP433" s="164">
        <f t="shared" si="410"/>
        <v>1.0120603015075378</v>
      </c>
      <c r="AQ433" s="162">
        <f t="shared" si="410"/>
        <v>1.1690821256038648</v>
      </c>
      <c r="AR433" s="162">
        <f>AR432/AR428</f>
        <v>1.5972850678733033</v>
      </c>
      <c r="AS433" s="164">
        <f>AS432/AS428</f>
        <v>1.5809608540925266</v>
      </c>
      <c r="AT433" s="170">
        <f>AT432/AT428</f>
        <v>5.3176361957525389</v>
      </c>
      <c r="AU433" s="164">
        <f t="shared" ref="AU433" si="411">AU432/AU428</f>
        <v>1.4589585172109445</v>
      </c>
      <c r="AV433" s="162">
        <f>AV432/AV428</f>
        <v>2.1876675603217159</v>
      </c>
      <c r="AW433" s="803">
        <f>AW432/AW428</f>
        <v>2.8032056990204808</v>
      </c>
      <c r="AX433" s="248">
        <f t="shared" ca="1" si="410"/>
        <v>2.5667100970826393</v>
      </c>
      <c r="AY433" s="254">
        <f t="shared" ca="1" si="410"/>
        <v>9.0097069266552285</v>
      </c>
      <c r="AZ433" s="248">
        <f t="shared" ref="AZ433:BG433" ca="1" si="412">AZ432/AZ428</f>
        <v>3.1629168667179997</v>
      </c>
      <c r="BA433" s="248">
        <f t="shared" ca="1" si="412"/>
        <v>3.5136093567750284</v>
      </c>
      <c r="BB433" s="248">
        <f t="shared" ca="1" si="412"/>
        <v>4.3371986408443544</v>
      </c>
      <c r="BC433" s="248">
        <f t="shared" ca="1" si="412"/>
        <v>4.2888114947833351</v>
      </c>
      <c r="BD433" s="254">
        <f t="shared" ca="1" si="412"/>
        <v>15.302536359120721</v>
      </c>
      <c r="BE433" s="254">
        <f t="shared" ca="1" si="412"/>
        <v>18.290161879317843</v>
      </c>
      <c r="BF433" s="254">
        <f t="shared" ca="1" si="412"/>
        <v>21.904905375999139</v>
      </c>
      <c r="BG433" s="254">
        <f t="shared" ca="1" si="412"/>
        <v>26.113732185507835</v>
      </c>
      <c r="BH433" s="373"/>
    </row>
    <row r="434" spans="1:60" s="181" customFormat="1" x14ac:dyDescent="0.25">
      <c r="A434" s="228" t="str">
        <f>CONCATENATE("Consensus Estimates - ",IFERROR(LEFT(A433,FIND("(",A433)-1),A433))</f>
        <v>Consensus Estimates - Cash Flow Per Diluted Share</v>
      </c>
      <c r="B434" s="238"/>
      <c r="C434" s="183"/>
      <c r="D434" s="183"/>
      <c r="E434" s="183"/>
      <c r="F434" s="183"/>
      <c r="G434" s="374"/>
      <c r="H434" s="374"/>
      <c r="I434" s="374"/>
      <c r="J434" s="374"/>
      <c r="K434" s="183"/>
      <c r="L434" s="374"/>
      <c r="M434" s="374"/>
      <c r="N434" s="374"/>
      <c r="O434" s="374"/>
      <c r="P434" s="183"/>
      <c r="Q434" s="374"/>
      <c r="R434" s="374"/>
      <c r="S434" s="374"/>
      <c r="T434" s="374"/>
      <c r="U434" s="183"/>
      <c r="V434" s="374"/>
      <c r="W434" s="182"/>
      <c r="X434" s="182"/>
      <c r="Y434" s="374"/>
      <c r="Z434" s="183"/>
      <c r="AA434" s="374"/>
      <c r="AB434" s="182"/>
      <c r="AC434" s="182"/>
      <c r="AD434" s="374"/>
      <c r="AE434" s="183"/>
      <c r="AF434" s="374"/>
      <c r="AG434" s="182"/>
      <c r="AH434" s="182"/>
      <c r="AI434" s="374"/>
      <c r="AJ434" s="183"/>
      <c r="AK434" s="374"/>
      <c r="AL434" s="182"/>
      <c r="AM434" s="182"/>
      <c r="AN434" s="374"/>
      <c r="AO434" s="183"/>
      <c r="AP434" s="374"/>
      <c r="AQ434" s="182"/>
      <c r="AR434" s="182"/>
      <c r="AS434" s="374"/>
      <c r="AT434" s="183"/>
      <c r="AU434" s="374"/>
      <c r="AV434" s="182"/>
      <c r="AW434" s="804"/>
      <c r="AX434" s="374" t="str">
        <f t="shared" ref="AX434:BD434" ca="1" si="413">IFERROR(VLOOKUP($A434,tb_ConsensusEstimate,MATCH(AX$5,OFFSET(tb_ConsensusEstimate,0,0,1,COLUMNS(tb_ConsensusEstimate)),0),FALSE),"-")</f>
        <v>N/A</v>
      </c>
      <c r="AY434" s="180" t="str">
        <f t="shared" ca="1" si="413"/>
        <v>N/A</v>
      </c>
      <c r="AZ434" s="374" t="str">
        <f t="shared" ca="1" si="413"/>
        <v>N/A</v>
      </c>
      <c r="BA434" s="374" t="str">
        <f t="shared" ca="1" si="413"/>
        <v>N/A</v>
      </c>
      <c r="BB434" s="374" t="str">
        <f t="shared" ca="1" si="413"/>
        <v>N/A</v>
      </c>
      <c r="BC434" s="374" t="str">
        <f t="shared" ca="1" si="413"/>
        <v>N/A</v>
      </c>
      <c r="BD434" s="180" t="str">
        <f t="shared" ca="1" si="413"/>
        <v>N/A</v>
      </c>
      <c r="BE434" s="180" t="str">
        <f ca="1">IFERROR(VLOOKUP(A434,tb_ConsensusEstimate,MATCH(BE5,OFFSET(tb_ConsensusEstimate,0,0,1,COLUMNS(tb_ConsensusEstimate)),0),FALSE),"-")</f>
        <v>N/A</v>
      </c>
      <c r="BF434" s="180" t="str">
        <f ca="1">IFERROR(VLOOKUP(A434,tb_ConsensusEstimate,MATCH(BF5,OFFSET(tb_ConsensusEstimate,0,0,1,COLUMNS(tb_ConsensusEstimate)),0),FALSE),"-")</f>
        <v>N/A</v>
      </c>
      <c r="BG434" s="180" t="str">
        <f ca="1">IFERROR(VLOOKUP(A434,tb_ConsensusEstimate,MATCH(BG5,OFFSET(tb_ConsensusEstimate,0,0,1,COLUMNS(tb_ConsensusEstimate)),0),FALSE),"-")</f>
        <v>N/A</v>
      </c>
      <c r="BH434" s="374"/>
    </row>
    <row r="435" spans="1:60" s="116" customFormat="1" x14ac:dyDescent="0.25">
      <c r="A435" s="553" t="s">
        <v>150</v>
      </c>
      <c r="B435" s="531"/>
      <c r="C435" s="33">
        <f t="shared" ref="C435:AQ435" si="414">C619+C620+C621</f>
        <v>-11.884</v>
      </c>
      <c r="D435" s="33">
        <f t="shared" si="414"/>
        <v>-40.203000000000003</v>
      </c>
      <c r="E435" s="33">
        <f t="shared" si="414"/>
        <v>-184.226</v>
      </c>
      <c r="F435" s="33">
        <f t="shared" si="414"/>
        <v>-239.22800000000001</v>
      </c>
      <c r="G435" s="368">
        <f t="shared" si="414"/>
        <v>-57.726999999999997</v>
      </c>
      <c r="H435" s="368">
        <f t="shared" si="414"/>
        <v>-40.515000000000008</v>
      </c>
      <c r="I435" s="368">
        <f t="shared" si="414"/>
        <v>-76.547999999999988</v>
      </c>
      <c r="J435" s="368">
        <f t="shared" si="414"/>
        <v>-89.433999999999997</v>
      </c>
      <c r="K435" s="33">
        <f t="shared" si="414"/>
        <v>-264.22399999999999</v>
      </c>
      <c r="L435" s="368">
        <f t="shared" si="414"/>
        <v>-141.364</v>
      </c>
      <c r="M435" s="368">
        <f t="shared" si="414"/>
        <v>-175.68499999999997</v>
      </c>
      <c r="N435" s="368">
        <f t="shared" si="414"/>
        <v>-284.17500000000007</v>
      </c>
      <c r="O435" s="368">
        <f t="shared" si="414"/>
        <v>-368.66099999999994</v>
      </c>
      <c r="P435" s="33">
        <f t="shared" si="414"/>
        <v>-969.88499999999999</v>
      </c>
      <c r="Q435" s="368">
        <f t="shared" si="414"/>
        <v>-426.06</v>
      </c>
      <c r="R435" s="368">
        <f t="shared" si="414"/>
        <v>-405.16500000000002</v>
      </c>
      <c r="S435" s="368">
        <f t="shared" si="414"/>
        <v>-392.40299999999991</v>
      </c>
      <c r="T435" s="368">
        <f t="shared" si="414"/>
        <v>-411.22199999999998</v>
      </c>
      <c r="U435" s="33">
        <f t="shared" si="414"/>
        <v>-1634.85</v>
      </c>
      <c r="V435" s="368">
        <f t="shared" si="414"/>
        <v>-216.85900000000001</v>
      </c>
      <c r="W435" s="34">
        <f t="shared" si="414"/>
        <v>-294.72000000000003</v>
      </c>
      <c r="X435" s="34">
        <f t="shared" si="414"/>
        <v>-247.61100000000005</v>
      </c>
      <c r="Y435" s="368">
        <f t="shared" si="414"/>
        <v>-681.28099999999984</v>
      </c>
      <c r="Z435" s="33">
        <f t="shared" si="414"/>
        <v>-1440.471</v>
      </c>
      <c r="AA435" s="368">
        <f t="shared" si="414"/>
        <v>-772.572</v>
      </c>
      <c r="AB435" s="34">
        <f t="shared" si="414"/>
        <v>-1157.912</v>
      </c>
      <c r="AC435" s="34">
        <f t="shared" si="414"/>
        <v>-1244.7270000000003</v>
      </c>
      <c r="AD435" s="368">
        <f t="shared" si="414"/>
        <v>-906.14299999999957</v>
      </c>
      <c r="AE435" s="33">
        <f t="shared" si="414"/>
        <v>-4081.3539999999998</v>
      </c>
      <c r="AF435" s="368">
        <f t="shared" si="414"/>
        <v>-728.63700000000006</v>
      </c>
      <c r="AG435" s="34">
        <f t="shared" si="414"/>
        <v>-677.21299999999985</v>
      </c>
      <c r="AH435" s="34">
        <f t="shared" si="414"/>
        <v>-559.76500000000021</v>
      </c>
      <c r="AI435" s="368">
        <f t="shared" si="414"/>
        <v>-353.90100000000007</v>
      </c>
      <c r="AJ435" s="33">
        <f t="shared" si="414"/>
        <v>-2319.5160000000001</v>
      </c>
      <c r="AK435" s="368">
        <f t="shared" si="414"/>
        <v>-305.19300000000004</v>
      </c>
      <c r="AL435" s="34">
        <f t="shared" si="414"/>
        <v>-273.20700000000005</v>
      </c>
      <c r="AM435" s="34">
        <f t="shared" si="414"/>
        <v>-409.59999999999997</v>
      </c>
      <c r="AN435" s="368">
        <f t="shared" si="414"/>
        <v>-449</v>
      </c>
      <c r="AO435" s="33">
        <f t="shared" si="414"/>
        <v>-1437</v>
      </c>
      <c r="AP435" s="368">
        <f t="shared" si="414"/>
        <v>-481</v>
      </c>
      <c r="AQ435" s="34">
        <f t="shared" si="414"/>
        <v>-566</v>
      </c>
      <c r="AR435" s="34">
        <f>AR619+AR620+AR621</f>
        <v>-1026</v>
      </c>
      <c r="AS435" s="368">
        <f>AS619+AS620+AS621</f>
        <v>-1169</v>
      </c>
      <c r="AT435" s="33">
        <f>AT619+AT620+AT621</f>
        <v>-3242</v>
      </c>
      <c r="AU435" s="368">
        <f t="shared" ref="AU435" si="415">AU619+AU620+AU621</f>
        <v>-1360</v>
      </c>
      <c r="AV435" s="34">
        <f>AV619+AV620+AV621</f>
        <v>-1515</v>
      </c>
      <c r="AW435" s="793">
        <f>AW619+AW620+AW621</f>
        <v>-1825</v>
      </c>
      <c r="AX435" s="1003">
        <v>-1200</v>
      </c>
      <c r="AY435" s="33">
        <f>AY619+AY620+AY621</f>
        <v>-5900</v>
      </c>
      <c r="AZ435" s="1003">
        <v>-1500</v>
      </c>
      <c r="BA435" s="1003">
        <v>-1500</v>
      </c>
      <c r="BB435" s="1003">
        <v>-1500</v>
      </c>
      <c r="BC435" s="1003">
        <v>-1500</v>
      </c>
      <c r="BD435" s="33">
        <f>BD619+BD620+BD621</f>
        <v>-6000</v>
      </c>
      <c r="BE435" s="1013">
        <v>-6000</v>
      </c>
      <c r="BF435" s="1013">
        <v>-6000</v>
      </c>
      <c r="BG435" s="1013">
        <v>-6000</v>
      </c>
      <c r="BH435" s="368"/>
    </row>
    <row r="436" spans="1:60" s="178" customFormat="1" x14ac:dyDescent="0.25">
      <c r="A436" s="542" t="str">
        <f>CONCATENATE("Consensus Estimates - ",IFERROR(LEFT(A435,FIND("(",A435)-1),A435))</f>
        <v>Consensus Estimates - Capex</v>
      </c>
      <c r="B436" s="543"/>
      <c r="C436" s="544"/>
      <c r="D436" s="544"/>
      <c r="E436" s="544"/>
      <c r="F436" s="544"/>
      <c r="G436" s="545"/>
      <c r="H436" s="545"/>
      <c r="I436" s="545"/>
      <c r="J436" s="545"/>
      <c r="K436" s="544"/>
      <c r="L436" s="545"/>
      <c r="M436" s="545"/>
      <c r="N436" s="545"/>
      <c r="O436" s="545"/>
      <c r="P436" s="544"/>
      <c r="Q436" s="545"/>
      <c r="R436" s="545"/>
      <c r="S436" s="545"/>
      <c r="T436" s="545"/>
      <c r="U436" s="544"/>
      <c r="V436" s="545"/>
      <c r="W436" s="546"/>
      <c r="X436" s="546"/>
      <c r="Y436" s="545"/>
      <c r="Z436" s="544"/>
      <c r="AA436" s="545"/>
      <c r="AB436" s="546"/>
      <c r="AC436" s="546"/>
      <c r="AD436" s="545"/>
      <c r="AE436" s="544"/>
      <c r="AF436" s="545"/>
      <c r="AG436" s="546"/>
      <c r="AH436" s="546"/>
      <c r="AI436" s="545"/>
      <c r="AJ436" s="544"/>
      <c r="AK436" s="545"/>
      <c r="AL436" s="546"/>
      <c r="AM436" s="546"/>
      <c r="AN436" s="545"/>
      <c r="AO436" s="544"/>
      <c r="AP436" s="545"/>
      <c r="AQ436" s="546"/>
      <c r="AR436" s="546"/>
      <c r="AS436" s="545"/>
      <c r="AT436" s="544"/>
      <c r="AU436" s="545"/>
      <c r="AV436" s="546"/>
      <c r="AW436" s="801"/>
      <c r="AX436" s="545" t="str">
        <f t="shared" ref="AX436:BD436" ca="1" si="416">IFERROR(VLOOKUP($A436,tb_ConsensusEstimate,MATCH(AX$5,OFFSET(tb_ConsensusEstimate,0,0,1,COLUMNS(tb_ConsensusEstimate)),0),FALSE),"-")</f>
        <v>N/A</v>
      </c>
      <c r="AY436" s="547" t="str">
        <f t="shared" ca="1" si="416"/>
        <v>N/A</v>
      </c>
      <c r="AZ436" s="545" t="str">
        <f t="shared" ca="1" si="416"/>
        <v>N/A</v>
      </c>
      <c r="BA436" s="545" t="str">
        <f t="shared" ca="1" si="416"/>
        <v>N/A</v>
      </c>
      <c r="BB436" s="545" t="str">
        <f t="shared" ca="1" si="416"/>
        <v>N/A</v>
      </c>
      <c r="BC436" s="545" t="str">
        <f t="shared" ca="1" si="416"/>
        <v>N/A</v>
      </c>
      <c r="BD436" s="547" t="str">
        <f t="shared" ca="1" si="416"/>
        <v>N/A</v>
      </c>
      <c r="BE436" s="547" t="str">
        <f ca="1">IFERROR(VLOOKUP(A436,tb_ConsensusEstimate,MATCH(BE5,OFFSET(tb_ConsensusEstimate,0,0,1,COLUMNS(tb_ConsensusEstimate)),0),FALSE),"-")</f>
        <v>N/A</v>
      </c>
      <c r="BF436" s="547" t="str">
        <f ca="1">IFERROR(VLOOKUP(A436,tb_ConsensusEstimate,MATCH(BF5,OFFSET(tb_ConsensusEstimate,0,0,1,COLUMNS(tb_ConsensusEstimate)),0),FALSE),"-")</f>
        <v>N/A</v>
      </c>
      <c r="BG436" s="547" t="str">
        <f ca="1">IFERROR(VLOOKUP(A436,tb_ConsensusEstimate,MATCH(BG5,OFFSET(tb_ConsensusEstimate,0,0,1,COLUMNS(tb_ConsensusEstimate)),0),FALSE),"-")</f>
        <v>N/A</v>
      </c>
      <c r="BH436" s="1023"/>
    </row>
    <row r="437" spans="1:60" s="356" customFormat="1" x14ac:dyDescent="0.25">
      <c r="A437" s="361" t="s">
        <v>151</v>
      </c>
      <c r="B437" s="450"/>
      <c r="C437" s="35">
        <f t="shared" ref="C437:AQ437" si="417">C629</f>
        <v>0</v>
      </c>
      <c r="D437" s="35">
        <f t="shared" si="417"/>
        <v>-65.209999999999994</v>
      </c>
      <c r="E437" s="35">
        <f t="shared" si="417"/>
        <v>0</v>
      </c>
      <c r="F437" s="35">
        <f t="shared" si="417"/>
        <v>0</v>
      </c>
      <c r="G437" s="361">
        <f t="shared" si="417"/>
        <v>0</v>
      </c>
      <c r="H437" s="361">
        <f t="shared" si="417"/>
        <v>0</v>
      </c>
      <c r="I437" s="361">
        <f t="shared" si="417"/>
        <v>0</v>
      </c>
      <c r="J437" s="361">
        <f t="shared" si="417"/>
        <v>0</v>
      </c>
      <c r="K437" s="35">
        <f t="shared" si="417"/>
        <v>0</v>
      </c>
      <c r="L437" s="361">
        <f t="shared" si="417"/>
        <v>0</v>
      </c>
      <c r="M437" s="361">
        <f t="shared" si="417"/>
        <v>0</v>
      </c>
      <c r="N437" s="361">
        <f t="shared" si="417"/>
        <v>0</v>
      </c>
      <c r="O437" s="361">
        <f t="shared" si="417"/>
        <v>0</v>
      </c>
      <c r="P437" s="35">
        <f t="shared" si="417"/>
        <v>0</v>
      </c>
      <c r="Q437" s="361">
        <f t="shared" si="417"/>
        <v>0</v>
      </c>
      <c r="R437" s="361">
        <f t="shared" si="417"/>
        <v>-12.26</v>
      </c>
      <c r="S437" s="361">
        <f t="shared" si="417"/>
        <v>0</v>
      </c>
      <c r="T437" s="361">
        <f t="shared" si="417"/>
        <v>0</v>
      </c>
      <c r="U437" s="35">
        <f t="shared" si="417"/>
        <v>-12.26</v>
      </c>
      <c r="V437" s="361">
        <f t="shared" si="417"/>
        <v>0</v>
      </c>
      <c r="W437" s="36">
        <f t="shared" si="417"/>
        <v>0</v>
      </c>
      <c r="X437" s="36">
        <f t="shared" si="417"/>
        <v>0</v>
      </c>
      <c r="Y437" s="361">
        <f t="shared" si="417"/>
        <v>213.523</v>
      </c>
      <c r="Z437" s="35">
        <f t="shared" si="417"/>
        <v>213.523</v>
      </c>
      <c r="AA437" s="361">
        <f t="shared" si="417"/>
        <v>-109.14700000000001</v>
      </c>
      <c r="AB437" s="36">
        <f t="shared" si="417"/>
        <v>0</v>
      </c>
      <c r="AC437" s="36">
        <f t="shared" si="417"/>
        <v>0</v>
      </c>
      <c r="AD437" s="361">
        <f t="shared" si="417"/>
        <v>-5.3759999999999906</v>
      </c>
      <c r="AE437" s="35">
        <f t="shared" si="417"/>
        <v>-114.523</v>
      </c>
      <c r="AF437" s="361">
        <f t="shared" si="417"/>
        <v>0</v>
      </c>
      <c r="AG437" s="36">
        <f t="shared" si="417"/>
        <v>-5.6040000000000001</v>
      </c>
      <c r="AH437" s="36">
        <f t="shared" si="417"/>
        <v>-1.2000000000000002</v>
      </c>
      <c r="AI437" s="361">
        <f t="shared" si="417"/>
        <v>-11.107999999999999</v>
      </c>
      <c r="AJ437" s="35">
        <f t="shared" si="417"/>
        <v>-17.911999999999999</v>
      </c>
      <c r="AK437" s="361">
        <f t="shared" si="417"/>
        <v>-0.65</v>
      </c>
      <c r="AL437" s="36">
        <f t="shared" si="417"/>
        <v>31.661999999999999</v>
      </c>
      <c r="AM437" s="36">
        <f t="shared" si="417"/>
        <v>-76.012</v>
      </c>
      <c r="AN437" s="361">
        <f t="shared" si="417"/>
        <v>0</v>
      </c>
      <c r="AO437" s="35">
        <f t="shared" si="417"/>
        <v>-45</v>
      </c>
      <c r="AP437" s="361">
        <f t="shared" si="417"/>
        <v>0</v>
      </c>
      <c r="AQ437" s="36">
        <f t="shared" si="417"/>
        <v>0</v>
      </c>
      <c r="AR437" s="36">
        <f t="shared" ref="AR437:AU438" si="418">AR629</f>
        <v>-13</v>
      </c>
      <c r="AS437" s="361">
        <f t="shared" si="418"/>
        <v>0</v>
      </c>
      <c r="AT437" s="35">
        <f t="shared" si="418"/>
        <v>-13</v>
      </c>
      <c r="AU437" s="361">
        <f t="shared" si="418"/>
        <v>0</v>
      </c>
      <c r="AV437" s="36">
        <f>AV629</f>
        <v>0</v>
      </c>
      <c r="AW437" s="792">
        <f>AW629</f>
        <v>0</v>
      </c>
      <c r="AX437" s="441">
        <v>0</v>
      </c>
      <c r="AY437" s="440">
        <f>AY629</f>
        <v>0</v>
      </c>
      <c r="AZ437" s="441">
        <v>0</v>
      </c>
      <c r="BA437" s="441">
        <v>0</v>
      </c>
      <c r="BB437" s="441">
        <v>0</v>
      </c>
      <c r="BC437" s="441">
        <v>0</v>
      </c>
      <c r="BD437" s="440">
        <f>BD629</f>
        <v>0</v>
      </c>
      <c r="BE437" s="1008">
        <v>0</v>
      </c>
      <c r="BF437" s="1008">
        <v>0</v>
      </c>
      <c r="BG437" s="1008">
        <v>0</v>
      </c>
      <c r="BH437" s="361"/>
    </row>
    <row r="438" spans="1:60" s="356" customFormat="1" x14ac:dyDescent="0.25">
      <c r="A438" s="361" t="s">
        <v>152</v>
      </c>
      <c r="B438" s="450"/>
      <c r="C438" s="35">
        <f t="shared" ref="C438:AQ438" si="419">C630</f>
        <v>0</v>
      </c>
      <c r="D438" s="35">
        <f t="shared" si="419"/>
        <v>0</v>
      </c>
      <c r="E438" s="35">
        <f t="shared" si="419"/>
        <v>0</v>
      </c>
      <c r="F438" s="35">
        <f t="shared" si="419"/>
        <v>0</v>
      </c>
      <c r="G438" s="361">
        <f t="shared" si="419"/>
        <v>0</v>
      </c>
      <c r="H438" s="361">
        <f t="shared" si="419"/>
        <v>0</v>
      </c>
      <c r="I438" s="361">
        <f t="shared" si="419"/>
        <v>0</v>
      </c>
      <c r="J438" s="361">
        <f t="shared" si="419"/>
        <v>0</v>
      </c>
      <c r="K438" s="35">
        <f t="shared" si="419"/>
        <v>0</v>
      </c>
      <c r="L438" s="361">
        <f t="shared" si="419"/>
        <v>0</v>
      </c>
      <c r="M438" s="361">
        <f t="shared" si="419"/>
        <v>0</v>
      </c>
      <c r="N438" s="361">
        <f t="shared" si="419"/>
        <v>0</v>
      </c>
      <c r="O438" s="361">
        <f t="shared" si="419"/>
        <v>0</v>
      </c>
      <c r="P438" s="35">
        <f t="shared" si="419"/>
        <v>0</v>
      </c>
      <c r="Q438" s="361">
        <f t="shared" si="419"/>
        <v>0</v>
      </c>
      <c r="R438" s="361">
        <f t="shared" si="419"/>
        <v>0</v>
      </c>
      <c r="S438" s="361">
        <f t="shared" si="419"/>
        <v>0</v>
      </c>
      <c r="T438" s="361">
        <f t="shared" si="419"/>
        <v>0</v>
      </c>
      <c r="U438" s="35">
        <f t="shared" si="419"/>
        <v>0</v>
      </c>
      <c r="V438" s="361">
        <f t="shared" si="419"/>
        <v>0</v>
      </c>
      <c r="W438" s="36">
        <f t="shared" si="419"/>
        <v>0</v>
      </c>
      <c r="X438" s="36">
        <f t="shared" si="419"/>
        <v>0</v>
      </c>
      <c r="Y438" s="361">
        <f t="shared" si="419"/>
        <v>0</v>
      </c>
      <c r="Z438" s="35">
        <f t="shared" si="419"/>
        <v>0</v>
      </c>
      <c r="AA438" s="361">
        <f t="shared" si="419"/>
        <v>0</v>
      </c>
      <c r="AB438" s="36">
        <f t="shared" si="419"/>
        <v>0</v>
      </c>
      <c r="AC438" s="36">
        <f t="shared" si="419"/>
        <v>0</v>
      </c>
      <c r="AD438" s="361">
        <f t="shared" si="419"/>
        <v>0</v>
      </c>
      <c r="AE438" s="35">
        <f t="shared" si="419"/>
        <v>0</v>
      </c>
      <c r="AF438" s="361">
        <f t="shared" si="419"/>
        <v>0</v>
      </c>
      <c r="AG438" s="36">
        <f t="shared" si="419"/>
        <v>0</v>
      </c>
      <c r="AH438" s="36">
        <f t="shared" si="419"/>
        <v>0</v>
      </c>
      <c r="AI438" s="361">
        <f t="shared" si="419"/>
        <v>0</v>
      </c>
      <c r="AJ438" s="35">
        <f t="shared" si="419"/>
        <v>0</v>
      </c>
      <c r="AK438" s="361">
        <f t="shared" si="419"/>
        <v>0</v>
      </c>
      <c r="AL438" s="36">
        <f t="shared" si="419"/>
        <v>0</v>
      </c>
      <c r="AM438" s="36">
        <f t="shared" si="419"/>
        <v>0</v>
      </c>
      <c r="AN438" s="361">
        <f t="shared" si="419"/>
        <v>0</v>
      </c>
      <c r="AO438" s="35">
        <f t="shared" si="419"/>
        <v>0</v>
      </c>
      <c r="AP438" s="361">
        <f t="shared" si="419"/>
        <v>0</v>
      </c>
      <c r="AQ438" s="36">
        <f t="shared" si="419"/>
        <v>0</v>
      </c>
      <c r="AR438" s="36">
        <f t="shared" si="418"/>
        <v>0</v>
      </c>
      <c r="AS438" s="361">
        <f t="shared" si="418"/>
        <v>0</v>
      </c>
      <c r="AT438" s="35">
        <f t="shared" si="418"/>
        <v>0</v>
      </c>
      <c r="AU438" s="361">
        <f t="shared" si="418"/>
        <v>0</v>
      </c>
      <c r="AV438" s="36">
        <f>AV630</f>
        <v>0</v>
      </c>
      <c r="AW438" s="792">
        <f>AW630</f>
        <v>0</v>
      </c>
      <c r="AX438" s="441">
        <v>0</v>
      </c>
      <c r="AY438" s="440">
        <f>AY630</f>
        <v>0</v>
      </c>
      <c r="AZ438" s="441">
        <v>0</v>
      </c>
      <c r="BA438" s="441">
        <v>0</v>
      </c>
      <c r="BB438" s="441">
        <v>0</v>
      </c>
      <c r="BC438" s="441">
        <v>0</v>
      </c>
      <c r="BD438" s="440">
        <f>BD630</f>
        <v>0</v>
      </c>
      <c r="BE438" s="1008">
        <v>0</v>
      </c>
      <c r="BF438" s="1008">
        <v>0</v>
      </c>
      <c r="BG438" s="1008">
        <v>0</v>
      </c>
      <c r="BH438" s="361"/>
    </row>
    <row r="439" spans="1:60" s="356" customFormat="1" x14ac:dyDescent="0.25">
      <c r="A439" s="361" t="s">
        <v>153</v>
      </c>
      <c r="B439" s="450"/>
      <c r="C439" s="35">
        <f t="shared" ref="C439:AT439" si="420">C656+C659</f>
        <v>0</v>
      </c>
      <c r="D439" s="35">
        <f t="shared" si="420"/>
        <v>0</v>
      </c>
      <c r="E439" s="35">
        <f t="shared" si="420"/>
        <v>0</v>
      </c>
      <c r="F439" s="35">
        <f t="shared" si="420"/>
        <v>0</v>
      </c>
      <c r="G439" s="361">
        <f t="shared" si="420"/>
        <v>0</v>
      </c>
      <c r="H439" s="361">
        <f t="shared" si="420"/>
        <v>0</v>
      </c>
      <c r="I439" s="361">
        <f t="shared" si="420"/>
        <v>0</v>
      </c>
      <c r="J439" s="361">
        <f t="shared" si="420"/>
        <v>0</v>
      </c>
      <c r="K439" s="35">
        <f t="shared" si="420"/>
        <v>0</v>
      </c>
      <c r="L439" s="361">
        <f t="shared" si="420"/>
        <v>0</v>
      </c>
      <c r="M439" s="361">
        <f t="shared" si="420"/>
        <v>0</v>
      </c>
      <c r="N439" s="361">
        <f t="shared" si="420"/>
        <v>0</v>
      </c>
      <c r="O439" s="361">
        <f t="shared" si="420"/>
        <v>0</v>
      </c>
      <c r="P439" s="35">
        <f t="shared" si="420"/>
        <v>0</v>
      </c>
      <c r="Q439" s="361">
        <f t="shared" si="420"/>
        <v>0</v>
      </c>
      <c r="R439" s="361">
        <f t="shared" si="420"/>
        <v>0</v>
      </c>
      <c r="S439" s="361">
        <f t="shared" si="420"/>
        <v>0</v>
      </c>
      <c r="T439" s="361">
        <f t="shared" si="420"/>
        <v>0</v>
      </c>
      <c r="U439" s="35">
        <f t="shared" si="420"/>
        <v>0</v>
      </c>
      <c r="V439" s="361">
        <f t="shared" si="420"/>
        <v>0</v>
      </c>
      <c r="W439" s="36">
        <f t="shared" si="420"/>
        <v>0</v>
      </c>
      <c r="X439" s="36">
        <f t="shared" si="420"/>
        <v>0</v>
      </c>
      <c r="Y439" s="361">
        <f t="shared" si="420"/>
        <v>0</v>
      </c>
      <c r="Z439" s="35">
        <f t="shared" si="420"/>
        <v>0</v>
      </c>
      <c r="AA439" s="361">
        <f t="shared" si="420"/>
        <v>-63.695999999999998</v>
      </c>
      <c r="AB439" s="36">
        <f t="shared" si="420"/>
        <v>-60.177000000000007</v>
      </c>
      <c r="AC439" s="36">
        <f t="shared" si="420"/>
        <v>-66.841999999999999</v>
      </c>
      <c r="AD439" s="361">
        <f t="shared" si="420"/>
        <v>-71.128999999999991</v>
      </c>
      <c r="AE439" s="35">
        <f t="shared" si="420"/>
        <v>-261.84399999999999</v>
      </c>
      <c r="AF439" s="361">
        <f t="shared" si="420"/>
        <v>-52.942</v>
      </c>
      <c r="AG439" s="36">
        <f t="shared" si="420"/>
        <v>-56.603000000000002</v>
      </c>
      <c r="AH439" s="36">
        <f t="shared" si="420"/>
        <v>-68.965999999999994</v>
      </c>
      <c r="AI439" s="361">
        <f t="shared" si="420"/>
        <v>-48.793000000000006</v>
      </c>
      <c r="AJ439" s="35">
        <f t="shared" si="420"/>
        <v>-227.304</v>
      </c>
      <c r="AK439" s="361">
        <f t="shared" si="420"/>
        <v>-85.257000000000005</v>
      </c>
      <c r="AL439" s="36">
        <f t="shared" si="420"/>
        <v>-63.501999999999981</v>
      </c>
      <c r="AM439" s="36">
        <f t="shared" si="420"/>
        <v>-62.241000000000014</v>
      </c>
      <c r="AN439" s="361">
        <f t="shared" si="420"/>
        <v>-100</v>
      </c>
      <c r="AO439" s="35">
        <f t="shared" si="420"/>
        <v>-311</v>
      </c>
      <c r="AP439" s="361">
        <f t="shared" si="420"/>
        <v>-67</v>
      </c>
      <c r="AQ439" s="36">
        <f t="shared" si="420"/>
        <v>-43</v>
      </c>
      <c r="AR439" s="36">
        <f t="shared" si="420"/>
        <v>-53</v>
      </c>
      <c r="AS439" s="361">
        <f t="shared" si="420"/>
        <v>-45</v>
      </c>
      <c r="AT439" s="35">
        <f t="shared" si="420"/>
        <v>-208</v>
      </c>
      <c r="AU439" s="361">
        <f t="shared" ref="AU439" si="421">AU656+AU659</f>
        <v>-32</v>
      </c>
      <c r="AV439" s="36">
        <f>AV656+AV659</f>
        <v>-33</v>
      </c>
      <c r="AW439" s="792">
        <f>AW656+AW659</f>
        <v>-43</v>
      </c>
      <c r="AX439" s="439">
        <f ca="1">AX440*-AX427+AX659</f>
        <v>-40</v>
      </c>
      <c r="AY439" s="440">
        <f ca="1">AY656+AY659</f>
        <v>-148</v>
      </c>
      <c r="AZ439" s="439">
        <f ca="1">AZ440*-AZ427+AZ659</f>
        <v>-40</v>
      </c>
      <c r="BA439" s="439">
        <f ca="1">BA440*-BA427+BA659</f>
        <v>-40</v>
      </c>
      <c r="BB439" s="439">
        <f ca="1">BB440*-BB427+BB659</f>
        <v>-40</v>
      </c>
      <c r="BC439" s="439">
        <f ca="1">BC440*-BC427+BC659</f>
        <v>-40</v>
      </c>
      <c r="BD439" s="440">
        <f ca="1">BD656+BD659</f>
        <v>-160</v>
      </c>
      <c r="BE439" s="440">
        <f ca="1">BE440*-BE427+BE659</f>
        <v>-160</v>
      </c>
      <c r="BF439" s="440">
        <f ca="1">BF440*-BF427+BF659</f>
        <v>-160</v>
      </c>
      <c r="BG439" s="440">
        <f ca="1">BG440*-BG427+BG659</f>
        <v>-160</v>
      </c>
      <c r="BH439" s="361"/>
    </row>
    <row r="440" spans="1:60" s="122" customFormat="1" x14ac:dyDescent="0.25">
      <c r="A440" s="230" t="s">
        <v>154</v>
      </c>
      <c r="B440" s="666"/>
      <c r="C440" s="171">
        <v>0</v>
      </c>
      <c r="D440" s="171">
        <v>0</v>
      </c>
      <c r="E440" s="171">
        <v>0</v>
      </c>
      <c r="F440" s="171">
        <v>0</v>
      </c>
      <c r="G440" s="375">
        <v>0</v>
      </c>
      <c r="H440" s="375">
        <v>0</v>
      </c>
      <c r="I440" s="375">
        <v>0</v>
      </c>
      <c r="J440" s="375">
        <v>0</v>
      </c>
      <c r="K440" s="171">
        <f>SUM(G440,H440,I440,J440)</f>
        <v>0</v>
      </c>
      <c r="L440" s="375">
        <v>0</v>
      </c>
      <c r="M440" s="375">
        <v>0</v>
      </c>
      <c r="N440" s="375">
        <v>0</v>
      </c>
      <c r="O440" s="375">
        <v>0</v>
      </c>
      <c r="P440" s="171">
        <f>SUM(L440,M440,N440,O440)</f>
        <v>0</v>
      </c>
      <c r="Q440" s="375">
        <v>0</v>
      </c>
      <c r="R440" s="375">
        <v>0</v>
      </c>
      <c r="S440" s="375">
        <v>0</v>
      </c>
      <c r="T440" s="375">
        <v>0</v>
      </c>
      <c r="U440" s="171">
        <f>SUM(Q440,R440,S440,T440)</f>
        <v>0</v>
      </c>
      <c r="V440" s="375">
        <v>0</v>
      </c>
      <c r="W440" s="783">
        <v>0</v>
      </c>
      <c r="X440" s="783">
        <v>0</v>
      </c>
      <c r="Y440" s="375">
        <v>0</v>
      </c>
      <c r="Z440" s="171">
        <f>SUM(V440,W440,X440,Y440)</f>
        <v>0</v>
      </c>
      <c r="AA440" s="375">
        <v>0</v>
      </c>
      <c r="AB440" s="783">
        <v>0</v>
      </c>
      <c r="AC440" s="783">
        <v>0</v>
      </c>
      <c r="AD440" s="375">
        <v>0</v>
      </c>
      <c r="AE440" s="171">
        <f>SUM(AA440,AB440,AC440,AD440)</f>
        <v>0</v>
      </c>
      <c r="AF440" s="375">
        <v>0</v>
      </c>
      <c r="AG440" s="783">
        <v>0</v>
      </c>
      <c r="AH440" s="783">
        <v>0</v>
      </c>
      <c r="AI440" s="375">
        <v>0</v>
      </c>
      <c r="AJ440" s="171">
        <f>SUM(AF440,AG440,AH440,AI440)</f>
        <v>0</v>
      </c>
      <c r="AK440" s="375">
        <v>0</v>
      </c>
      <c r="AL440" s="783">
        <v>0</v>
      </c>
      <c r="AM440" s="783">
        <v>0</v>
      </c>
      <c r="AN440" s="375">
        <v>0</v>
      </c>
      <c r="AO440" s="171">
        <f>SUM(AK440,AL440,AM440,AN440)</f>
        <v>0</v>
      </c>
      <c r="AP440" s="375">
        <v>0</v>
      </c>
      <c r="AQ440" s="783">
        <v>0</v>
      </c>
      <c r="AR440" s="783">
        <v>0</v>
      </c>
      <c r="AS440" s="375">
        <v>0</v>
      </c>
      <c r="AT440" s="171">
        <f>SUM(AP440,AQ440,AR440,AS440)</f>
        <v>0</v>
      </c>
      <c r="AU440" s="375">
        <v>0</v>
      </c>
      <c r="AV440" s="783">
        <v>0</v>
      </c>
      <c r="AW440" s="1002">
        <v>0</v>
      </c>
      <c r="AX440" s="249">
        <v>0</v>
      </c>
      <c r="AY440" s="255">
        <f>SUM(AU440,AV440,AW440,AX440)</f>
        <v>0</v>
      </c>
      <c r="AZ440" s="249">
        <v>0</v>
      </c>
      <c r="BA440" s="249">
        <v>0</v>
      </c>
      <c r="BB440" s="249">
        <v>0</v>
      </c>
      <c r="BC440" s="249">
        <v>0</v>
      </c>
      <c r="BD440" s="255">
        <f>SUM(AZ440,BA440,BB440,BC440)</f>
        <v>0</v>
      </c>
      <c r="BE440" s="1015">
        <v>0</v>
      </c>
      <c r="BF440" s="1015">
        <v>0</v>
      </c>
      <c r="BG440" s="1015">
        <v>0</v>
      </c>
      <c r="BH440" s="375"/>
    </row>
    <row r="441" spans="1:60" s="122" customFormat="1" x14ac:dyDescent="0.25">
      <c r="A441" s="667"/>
      <c r="B441" s="666"/>
      <c r="C441" s="255"/>
      <c r="D441" s="255"/>
      <c r="E441" s="255"/>
      <c r="F441" s="255"/>
      <c r="G441" s="630"/>
      <c r="H441" s="630"/>
      <c r="I441" s="630"/>
      <c r="J441" s="630"/>
      <c r="K441" s="255"/>
      <c r="L441" s="630"/>
      <c r="M441" s="630"/>
      <c r="N441" s="630"/>
      <c r="O441" s="630"/>
      <c r="P441" s="255"/>
      <c r="Q441" s="630"/>
      <c r="R441" s="630"/>
      <c r="S441" s="630"/>
      <c r="T441" s="630"/>
      <c r="U441" s="255"/>
      <c r="V441" s="630"/>
      <c r="W441" s="630"/>
      <c r="X441" s="630"/>
      <c r="Y441" s="630"/>
      <c r="Z441" s="255"/>
      <c r="AA441" s="630"/>
      <c r="AB441" s="630"/>
      <c r="AC441" s="630"/>
      <c r="AD441" s="630"/>
      <c r="AE441" s="255"/>
      <c r="AF441" s="630"/>
      <c r="AG441" s="630"/>
      <c r="AH441" s="630"/>
      <c r="AI441" s="630"/>
      <c r="AJ441" s="255"/>
      <c r="AK441" s="630"/>
      <c r="AL441" s="630"/>
      <c r="AM441" s="630"/>
      <c r="AN441" s="630"/>
      <c r="AO441" s="255"/>
      <c r="AP441" s="630"/>
      <c r="AQ441" s="630"/>
      <c r="AR441" s="630"/>
      <c r="AS441" s="630"/>
      <c r="AT441" s="255"/>
      <c r="AU441" s="630"/>
      <c r="AV441" s="630"/>
      <c r="AW441" s="739"/>
      <c r="AX441" s="630"/>
      <c r="AY441" s="255"/>
      <c r="AZ441" s="630"/>
      <c r="BA441" s="630"/>
      <c r="BB441" s="630"/>
      <c r="BC441" s="630"/>
      <c r="BD441" s="255"/>
      <c r="BE441" s="255"/>
      <c r="BF441" s="255"/>
      <c r="BG441" s="255"/>
      <c r="BH441" s="375"/>
    </row>
    <row r="442" spans="1:60" s="122" customFormat="1" x14ac:dyDescent="0.25">
      <c r="A442" s="230" t="s">
        <v>508</v>
      </c>
      <c r="B442" s="666"/>
      <c r="C442" s="35">
        <f t="shared" ref="C442:AT442" si="422">C635+C639+C640+C643+C650+C654+C644+C645+C634+C637+C636+C655</f>
        <v>25.146000000000001</v>
      </c>
      <c r="D442" s="35">
        <f t="shared" si="422"/>
        <v>71.513000000000005</v>
      </c>
      <c r="E442" s="35">
        <f t="shared" si="422"/>
        <v>204.00700000000001</v>
      </c>
      <c r="F442" s="35">
        <f t="shared" si="422"/>
        <v>173.25399999999999</v>
      </c>
      <c r="G442" s="361">
        <f t="shared" si="422"/>
        <v>-14.218999999999999</v>
      </c>
      <c r="H442" s="361">
        <f t="shared" si="422"/>
        <v>218.24800000000002</v>
      </c>
      <c r="I442" s="361">
        <f t="shared" si="422"/>
        <v>-2.746</v>
      </c>
      <c r="J442" s="361">
        <f t="shared" si="422"/>
        <v>-2.0450000000000008</v>
      </c>
      <c r="K442" s="35">
        <f t="shared" si="422"/>
        <v>199.238</v>
      </c>
      <c r="L442" s="361">
        <f t="shared" si="422"/>
        <v>1997.4549999999999</v>
      </c>
      <c r="M442" s="361">
        <f t="shared" si="422"/>
        <v>296.899</v>
      </c>
      <c r="N442" s="361">
        <f t="shared" si="422"/>
        <v>-3.056</v>
      </c>
      <c r="O442" s="361">
        <f t="shared" si="422"/>
        <v>0.79399999999999959</v>
      </c>
      <c r="P442" s="35">
        <f t="shared" si="422"/>
        <v>2292.0920000000001</v>
      </c>
      <c r="Q442" s="361">
        <f t="shared" si="422"/>
        <v>151.89600000000002</v>
      </c>
      <c r="R442" s="361">
        <f t="shared" si="422"/>
        <v>198.98399999999998</v>
      </c>
      <c r="S442" s="361">
        <f t="shared" si="422"/>
        <v>120.13700000000001</v>
      </c>
      <c r="T442" s="361">
        <f t="shared" si="422"/>
        <v>212.92</v>
      </c>
      <c r="U442" s="35">
        <f t="shared" si="422"/>
        <v>683.93700000000001</v>
      </c>
      <c r="V442" s="361">
        <f t="shared" si="422"/>
        <v>663.63499999999999</v>
      </c>
      <c r="W442" s="36">
        <f t="shared" si="422"/>
        <v>231.93699999999998</v>
      </c>
      <c r="X442" s="36">
        <f t="shared" si="422"/>
        <v>-361.54599999999994</v>
      </c>
      <c r="Y442" s="361">
        <f t="shared" si="422"/>
        <v>1184.1639999999998</v>
      </c>
      <c r="Z442" s="35">
        <f t="shared" si="422"/>
        <v>1718.1899999999998</v>
      </c>
      <c r="AA442" s="361">
        <f t="shared" si="422"/>
        <v>1916.2179999999998</v>
      </c>
      <c r="AB442" s="36">
        <f t="shared" si="422"/>
        <v>-534.25000000000011</v>
      </c>
      <c r="AC442" s="36">
        <f t="shared" si="422"/>
        <v>2027.6350000000004</v>
      </c>
      <c r="AD442" s="361">
        <f t="shared" si="422"/>
        <v>263.19800000000004</v>
      </c>
      <c r="AE442" s="35">
        <f t="shared" si="422"/>
        <v>3672.8010000000004</v>
      </c>
      <c r="AF442" s="361">
        <f t="shared" si="422"/>
        <v>-1512.7669999999998</v>
      </c>
      <c r="AG442" s="36">
        <f t="shared" si="422"/>
        <v>2021.078</v>
      </c>
      <c r="AH442" s="36">
        <f t="shared" si="422"/>
        <v>-221.93100000000027</v>
      </c>
      <c r="AI442" s="361">
        <f t="shared" si="422"/>
        <v>-197.23599999999988</v>
      </c>
      <c r="AJ442" s="35">
        <f t="shared" si="422"/>
        <v>89.143999999999323</v>
      </c>
      <c r="AK442" s="361">
        <f t="shared" si="422"/>
        <v>-677.19</v>
      </c>
      <c r="AL442" s="36">
        <f t="shared" si="422"/>
        <v>1622.4450000000004</v>
      </c>
      <c r="AM442" s="36">
        <f t="shared" si="422"/>
        <v>47.745000000000118</v>
      </c>
      <c r="AN442" s="361">
        <f t="shared" si="422"/>
        <v>-195</v>
      </c>
      <c r="AO442" s="35">
        <f t="shared" si="422"/>
        <v>798</v>
      </c>
      <c r="AP442" s="361">
        <f t="shared" si="422"/>
        <v>287</v>
      </c>
      <c r="AQ442" s="36">
        <f t="shared" si="422"/>
        <v>111</v>
      </c>
      <c r="AR442" s="36">
        <f t="shared" si="422"/>
        <v>-581</v>
      </c>
      <c r="AS442" s="361">
        <f t="shared" si="422"/>
        <v>-2305</v>
      </c>
      <c r="AT442" s="35">
        <f t="shared" si="422"/>
        <v>-2488</v>
      </c>
      <c r="AU442" s="361">
        <f>AU635+AU639+AU640+AU643+AU650+AU654+AU644+AU645+AU634+AU637+AU636+AU655</f>
        <v>-1167</v>
      </c>
      <c r="AV442" s="36">
        <f>AV635+AV639+AV640+AV643+AV650+AV654+AV644+AV645+AV634+AV637+AV636+AV655</f>
        <v>-1588</v>
      </c>
      <c r="AW442" s="792">
        <f>AW635+AW639+AW640+AW643+AW650+AW654+AW644+AW645+AW634+AW637+AW636+AW655</f>
        <v>-1521</v>
      </c>
      <c r="AX442" s="441">
        <v>0</v>
      </c>
      <c r="AY442" s="35">
        <f>AY635+AY639+AY640+AY643+AY650+AY654+AY644+AY645+AY634+AY637+AY636+AY655</f>
        <v>-4276</v>
      </c>
      <c r="AZ442" s="441">
        <v>0</v>
      </c>
      <c r="BA442" s="441">
        <v>0</v>
      </c>
      <c r="BB442" s="441">
        <v>0</v>
      </c>
      <c r="BC442" s="441">
        <v>0</v>
      </c>
      <c r="BD442" s="35">
        <f>BD635+BD639+BD640+BD643+BD650+BD654+BD644+BD645+BD634+BD637+BD636+BD655</f>
        <v>0</v>
      </c>
      <c r="BE442" s="1008">
        <v>0</v>
      </c>
      <c r="BF442" s="1008">
        <v>0</v>
      </c>
      <c r="BG442" s="1008">
        <v>0</v>
      </c>
      <c r="BH442" s="375"/>
    </row>
    <row r="443" spans="1:60" s="122" customFormat="1" x14ac:dyDescent="0.25">
      <c r="A443" s="230" t="s">
        <v>511</v>
      </c>
      <c r="B443" s="666"/>
      <c r="C443" s="35">
        <f t="shared" ref="C443:AS443" si="423">C641+C647+C648+C649+C642+C646+C652</f>
        <v>132.31900000000002</v>
      </c>
      <c r="D443" s="35">
        <f t="shared" si="423"/>
        <v>270.19200000000001</v>
      </c>
      <c r="E443" s="35">
        <f t="shared" si="423"/>
        <v>241.99299999999999</v>
      </c>
      <c r="F443" s="35">
        <f t="shared" si="423"/>
        <v>246.381</v>
      </c>
      <c r="G443" s="361">
        <f t="shared" si="423"/>
        <v>17.902999999999999</v>
      </c>
      <c r="H443" s="361">
        <f t="shared" si="423"/>
        <v>572.50599999999997</v>
      </c>
      <c r="I443" s="361">
        <f t="shared" si="423"/>
        <v>27.127999999999993</v>
      </c>
      <c r="J443" s="361">
        <f t="shared" si="423"/>
        <v>13.088000000000008</v>
      </c>
      <c r="K443" s="35">
        <f t="shared" si="423"/>
        <v>630.625</v>
      </c>
      <c r="L443" s="361">
        <f t="shared" si="423"/>
        <v>374.12599999999998</v>
      </c>
      <c r="M443" s="361">
        <f t="shared" si="423"/>
        <v>68.149000000000058</v>
      </c>
      <c r="N443" s="361">
        <f t="shared" si="423"/>
        <v>36.809999999999995</v>
      </c>
      <c r="O443" s="361">
        <f t="shared" si="423"/>
        <v>10.530000000000001</v>
      </c>
      <c r="P443" s="35">
        <f t="shared" si="423"/>
        <v>489.61500000000001</v>
      </c>
      <c r="Q443" s="361">
        <f t="shared" si="423"/>
        <v>35.218000000000004</v>
      </c>
      <c r="R443" s="361">
        <f t="shared" si="423"/>
        <v>23.652999999999999</v>
      </c>
      <c r="S443" s="361">
        <f t="shared" si="423"/>
        <v>785.15499999999997</v>
      </c>
      <c r="T443" s="361">
        <f t="shared" si="423"/>
        <v>12.585000000000008</v>
      </c>
      <c r="U443" s="35">
        <f t="shared" si="423"/>
        <v>856.61099999999999</v>
      </c>
      <c r="V443" s="361">
        <f t="shared" si="423"/>
        <v>52.838000000000001</v>
      </c>
      <c r="W443" s="36">
        <f t="shared" si="423"/>
        <v>1759.374</v>
      </c>
      <c r="X443" s="36">
        <f t="shared" si="423"/>
        <v>42.983000000000018</v>
      </c>
      <c r="Y443" s="361">
        <f t="shared" si="423"/>
        <v>10.355999999999995</v>
      </c>
      <c r="Z443" s="35">
        <f t="shared" si="423"/>
        <v>1865.5509999999999</v>
      </c>
      <c r="AA443" s="361">
        <f t="shared" si="423"/>
        <v>-180.57999999999998</v>
      </c>
      <c r="AB443" s="36">
        <f t="shared" si="423"/>
        <v>584.35800000000006</v>
      </c>
      <c r="AC443" s="36">
        <f t="shared" si="423"/>
        <v>69.069999999999993</v>
      </c>
      <c r="AD443" s="361">
        <f t="shared" si="423"/>
        <v>8.9410000000000025</v>
      </c>
      <c r="AE443" s="35">
        <f t="shared" si="423"/>
        <v>481.78899999999999</v>
      </c>
      <c r="AF443" s="361">
        <f t="shared" si="423"/>
        <v>1869.499</v>
      </c>
      <c r="AG443" s="36">
        <f t="shared" si="423"/>
        <v>-1744.4279999999999</v>
      </c>
      <c r="AH443" s="36">
        <f t="shared" si="423"/>
        <v>94.869</v>
      </c>
      <c r="AI443" s="361">
        <f t="shared" si="423"/>
        <v>75.770999999999987</v>
      </c>
      <c r="AJ443" s="35">
        <f t="shared" si="423"/>
        <v>295.71099999999996</v>
      </c>
      <c r="AK443" s="361">
        <f t="shared" si="423"/>
        <v>77.953000000000003</v>
      </c>
      <c r="AL443" s="36">
        <f t="shared" si="423"/>
        <v>1040.2959999999998</v>
      </c>
      <c r="AM443" s="36">
        <f t="shared" si="423"/>
        <v>70.751000000000047</v>
      </c>
      <c r="AN443" s="361">
        <f t="shared" si="423"/>
        <v>96</v>
      </c>
      <c r="AO443" s="35">
        <f t="shared" si="423"/>
        <v>1285</v>
      </c>
      <c r="AP443" s="361">
        <f t="shared" si="423"/>
        <v>2469</v>
      </c>
      <c r="AQ443" s="36">
        <f t="shared" si="423"/>
        <v>57</v>
      </c>
      <c r="AR443" s="36">
        <f t="shared" si="423"/>
        <v>5117</v>
      </c>
      <c r="AS443" s="361">
        <f t="shared" si="423"/>
        <v>5043</v>
      </c>
      <c r="AT443" s="35">
        <f>AT641+AT647+AT648+AT649+AT642+AT646+AT652</f>
        <v>12686</v>
      </c>
      <c r="AU443" s="361">
        <f t="shared" ref="AU443" si="424">AU641+AU647+AU648+AU649+AU642+AU646+AU652</f>
        <v>183</v>
      </c>
      <c r="AV443" s="36">
        <f>AV641+AV647+AV648+AV649+AV642+AV646+AV652</f>
        <v>70</v>
      </c>
      <c r="AW443" s="792">
        <f>AW641+AW647+AW648+AW649+AW642+AW646+AW652</f>
        <v>192</v>
      </c>
      <c r="AX443" s="441">
        <v>0</v>
      </c>
      <c r="AY443" s="440">
        <f>AY641+AY647+AY648+AY649+AY642+AY646+AY652</f>
        <v>445</v>
      </c>
      <c r="AZ443" s="441">
        <v>0</v>
      </c>
      <c r="BA443" s="441">
        <v>0</v>
      </c>
      <c r="BB443" s="441">
        <v>0</v>
      </c>
      <c r="BC443" s="441">
        <v>0</v>
      </c>
      <c r="BD443" s="440">
        <f>BD641+BD647+BD648+BD649+BD642+BD646+BD652</f>
        <v>0</v>
      </c>
      <c r="BE443" s="1008">
        <v>0</v>
      </c>
      <c r="BF443" s="1008">
        <v>0</v>
      </c>
      <c r="BG443" s="1008">
        <v>0</v>
      </c>
      <c r="BH443" s="375"/>
    </row>
    <row r="444" spans="1:60" s="122" customFormat="1" x14ac:dyDescent="0.25">
      <c r="A444" s="564" t="s">
        <v>512</v>
      </c>
      <c r="B444" s="668"/>
      <c r="C444" s="838"/>
      <c r="D444" s="838"/>
      <c r="E444" s="838"/>
      <c r="F444" s="838"/>
      <c r="G444" s="841"/>
      <c r="H444" s="841"/>
      <c r="I444" s="841"/>
      <c r="J444" s="841"/>
      <c r="K444" s="838"/>
      <c r="L444" s="841"/>
      <c r="M444" s="841"/>
      <c r="N444" s="841"/>
      <c r="O444" s="841"/>
      <c r="P444" s="838"/>
      <c r="Q444" s="841"/>
      <c r="R444" s="841"/>
      <c r="S444" s="841"/>
      <c r="T444" s="841"/>
      <c r="U444" s="838"/>
      <c r="V444" s="841"/>
      <c r="W444" s="841"/>
      <c r="X444" s="841"/>
      <c r="Y444" s="841"/>
      <c r="Z444" s="838"/>
      <c r="AA444" s="841"/>
      <c r="AB444" s="841"/>
      <c r="AC444" s="841"/>
      <c r="AD444" s="841"/>
      <c r="AE444" s="838"/>
      <c r="AF444" s="841"/>
      <c r="AG444" s="841"/>
      <c r="AH444" s="841"/>
      <c r="AI444" s="841"/>
      <c r="AJ444" s="838"/>
      <c r="AK444" s="841"/>
      <c r="AL444" s="841"/>
      <c r="AM444" s="841"/>
      <c r="AN444" s="841"/>
      <c r="AO444" s="838"/>
      <c r="AP444" s="841"/>
      <c r="AQ444" s="841"/>
      <c r="AR444" s="841"/>
      <c r="AS444" s="841"/>
      <c r="AT444" s="838"/>
      <c r="AU444" s="841"/>
      <c r="AV444" s="841"/>
      <c r="AW444" s="842"/>
      <c r="AX444" s="837">
        <v>1025</v>
      </c>
      <c r="AY444" s="838">
        <f>AVERAGE(AU444,AV444,AW444,AX444)</f>
        <v>1025</v>
      </c>
      <c r="AZ444" s="837">
        <v>1128</v>
      </c>
      <c r="BA444" s="837">
        <v>1128</v>
      </c>
      <c r="BB444" s="837">
        <v>1128</v>
      </c>
      <c r="BC444" s="837">
        <v>1128</v>
      </c>
      <c r="BD444" s="838">
        <f>AVERAGE(AZ444,BA444,BB444,BC444)</f>
        <v>1128</v>
      </c>
      <c r="BE444" s="1016">
        <v>1241</v>
      </c>
      <c r="BF444" s="1016">
        <v>1365</v>
      </c>
      <c r="BG444" s="1016">
        <v>1502</v>
      </c>
      <c r="BH444" s="375"/>
    </row>
    <row r="445" spans="1:60" s="110" customFormat="1" x14ac:dyDescent="0.25">
      <c r="A445" s="669"/>
      <c r="B445" s="670"/>
      <c r="C445" s="1060"/>
      <c r="D445" s="1060"/>
      <c r="E445" s="1060"/>
      <c r="F445" s="1060"/>
      <c r="G445" s="1061"/>
      <c r="H445" s="1061"/>
      <c r="I445" s="1061"/>
      <c r="J445" s="1061"/>
      <c r="K445" s="1060"/>
      <c r="L445" s="1061"/>
      <c r="M445" s="1061"/>
      <c r="N445" s="1061"/>
      <c r="O445" s="1061"/>
      <c r="P445" s="1060"/>
      <c r="Q445" s="1061"/>
      <c r="R445" s="1061"/>
      <c r="S445" s="1061"/>
      <c r="T445" s="1061"/>
      <c r="U445" s="1060"/>
      <c r="V445" s="1061"/>
      <c r="W445" s="1061"/>
      <c r="X445" s="1061"/>
      <c r="Y445" s="1061"/>
      <c r="Z445" s="1060"/>
      <c r="AA445" s="1061"/>
      <c r="AB445" s="1061"/>
      <c r="AC445" s="1061"/>
      <c r="AD445" s="1061"/>
      <c r="AE445" s="1060"/>
      <c r="AF445" s="1061"/>
      <c r="AG445" s="1061"/>
      <c r="AH445" s="1061"/>
      <c r="AI445" s="1061"/>
      <c r="AJ445" s="1060"/>
      <c r="AK445" s="1061"/>
      <c r="AL445" s="1061"/>
      <c r="AM445" s="1061"/>
      <c r="AN445" s="1061"/>
      <c r="AO445" s="1060"/>
      <c r="AP445" s="1061"/>
      <c r="AQ445" s="1061"/>
      <c r="AR445" s="1061"/>
      <c r="AS445" s="1061"/>
      <c r="AT445" s="1060"/>
      <c r="AU445" s="1061"/>
      <c r="AV445" s="1061"/>
      <c r="AW445" s="1062"/>
      <c r="AX445" s="1061"/>
      <c r="AY445" s="1060"/>
      <c r="AZ445" s="1061"/>
      <c r="BA445" s="1061"/>
      <c r="BB445" s="1061"/>
      <c r="BC445" s="1061"/>
      <c r="BD445" s="1060"/>
      <c r="BE445" s="1060"/>
      <c r="BF445" s="1060"/>
      <c r="BG445" s="1060"/>
      <c r="BH445" s="621"/>
    </row>
    <row r="446" spans="1:60" s="356" customFormat="1" x14ac:dyDescent="0.25">
      <c r="A446" s="361" t="s">
        <v>155</v>
      </c>
      <c r="B446" s="450"/>
      <c r="C446" s="35">
        <f t="shared" ref="C446:AH446" si="425">C432+C435</f>
        <v>-55.166000000000004</v>
      </c>
      <c r="D446" s="35">
        <f t="shared" si="425"/>
        <v>-156.77100000000002</v>
      </c>
      <c r="E446" s="35">
        <f t="shared" si="425"/>
        <v>-387.48799999999994</v>
      </c>
      <c r="F446" s="35">
        <f t="shared" si="425"/>
        <v>-548.12800000000016</v>
      </c>
      <c r="G446" s="361">
        <f t="shared" si="425"/>
        <v>-22.530999999999992</v>
      </c>
      <c r="H446" s="361">
        <f t="shared" si="425"/>
        <v>-13.396000000000011</v>
      </c>
      <c r="I446" s="361">
        <f t="shared" si="425"/>
        <v>-59.567999999999977</v>
      </c>
      <c r="J446" s="361">
        <f t="shared" si="425"/>
        <v>-52.88300000000001</v>
      </c>
      <c r="K446" s="35">
        <f t="shared" si="425"/>
        <v>-148.37799999999999</v>
      </c>
      <c r="L446" s="361">
        <f t="shared" si="425"/>
        <v>-99.135000000000005</v>
      </c>
      <c r="M446" s="361">
        <f t="shared" si="425"/>
        <v>-112.10199999999998</v>
      </c>
      <c r="N446" s="361">
        <f t="shared" si="425"/>
        <v>-217.48600000000005</v>
      </c>
      <c r="O446" s="361">
        <f t="shared" si="425"/>
        <v>-341.67399999999998</v>
      </c>
      <c r="P446" s="35">
        <f t="shared" si="425"/>
        <v>-770.39699999999993</v>
      </c>
      <c r="Q446" s="361">
        <f t="shared" si="425"/>
        <v>-402.66900000000004</v>
      </c>
      <c r="R446" s="361">
        <f t="shared" si="425"/>
        <v>-434.63</v>
      </c>
      <c r="S446" s="361">
        <f t="shared" si="425"/>
        <v>-403.29599999999982</v>
      </c>
      <c r="T446" s="361">
        <f t="shared" si="425"/>
        <v>-425.46500000000009</v>
      </c>
      <c r="U446" s="35">
        <f t="shared" si="425"/>
        <v>-1666.06</v>
      </c>
      <c r="V446" s="361">
        <f t="shared" si="425"/>
        <v>-195.435</v>
      </c>
      <c r="W446" s="36">
        <f t="shared" si="425"/>
        <v>-303.86800000000005</v>
      </c>
      <c r="X446" s="36">
        <f t="shared" si="425"/>
        <v>211.75899999999996</v>
      </c>
      <c r="Y446" s="361">
        <f t="shared" si="425"/>
        <v>-582.89499999999975</v>
      </c>
      <c r="Z446" s="35">
        <f t="shared" si="425"/>
        <v>-870.43899999999996</v>
      </c>
      <c r="AA446" s="361">
        <f t="shared" si="425"/>
        <v>-579.60300000000007</v>
      </c>
      <c r="AB446" s="36">
        <f t="shared" si="425"/>
        <v>-876.99099999999999</v>
      </c>
      <c r="AC446" s="36">
        <f t="shared" si="425"/>
        <v>-1295.5210000000004</v>
      </c>
      <c r="AD446" s="361">
        <f t="shared" si="425"/>
        <v>-893.28999999999962</v>
      </c>
      <c r="AE446" s="35">
        <f t="shared" si="425"/>
        <v>-3645.4049999999997</v>
      </c>
      <c r="AF446" s="361">
        <f t="shared" si="425"/>
        <v>-801.58699999999999</v>
      </c>
      <c r="AG446" s="36">
        <f t="shared" si="425"/>
        <v>-639.88799999999992</v>
      </c>
      <c r="AH446" s="36">
        <f t="shared" si="425"/>
        <v>480.19799999999998</v>
      </c>
      <c r="AI446" s="361">
        <f t="shared" ref="AI446:AY446" si="426">AI432+AI435</f>
        <v>681.61199999999963</v>
      </c>
      <c r="AJ446" s="35">
        <f t="shared" si="426"/>
        <v>-279.66500000000042</v>
      </c>
      <c r="AK446" s="361">
        <f t="shared" si="426"/>
        <v>-268.69800000000004</v>
      </c>
      <c r="AL446" s="36">
        <f t="shared" si="426"/>
        <v>303.25099999999992</v>
      </c>
      <c r="AM446" s="36">
        <f t="shared" si="426"/>
        <v>537.44700000000012</v>
      </c>
      <c r="AN446" s="361">
        <f t="shared" si="426"/>
        <v>745</v>
      </c>
      <c r="AO446" s="35">
        <f t="shared" si="426"/>
        <v>1317</v>
      </c>
      <c r="AP446" s="361">
        <f t="shared" si="426"/>
        <v>526</v>
      </c>
      <c r="AQ446" s="36">
        <f t="shared" si="426"/>
        <v>644</v>
      </c>
      <c r="AR446" s="36">
        <f>AR432+AR435</f>
        <v>739</v>
      </c>
      <c r="AS446" s="361">
        <f>AS432+AS435</f>
        <v>608</v>
      </c>
      <c r="AT446" s="35">
        <f>AT432+AT435</f>
        <v>2517</v>
      </c>
      <c r="AU446" s="361">
        <f t="shared" ref="AU446" si="427">AU432+AU435</f>
        <v>293</v>
      </c>
      <c r="AV446" s="36">
        <f>AV432+AV435</f>
        <v>933</v>
      </c>
      <c r="AW446" s="792">
        <f>AW432+AW435</f>
        <v>1323</v>
      </c>
      <c r="AX446" s="439">
        <f t="shared" si="426"/>
        <v>1682.4154390238041</v>
      </c>
      <c r="AY446" s="440">
        <f t="shared" si="426"/>
        <v>4231.4154390238036</v>
      </c>
      <c r="AZ446" s="439">
        <f t="shared" ref="AZ446:BG446" ca="1" si="428">AZ432+AZ435</f>
        <v>2051.9556413243135</v>
      </c>
      <c r="BA446" s="439">
        <f t="shared" ca="1" si="428"/>
        <v>2445.783307658357</v>
      </c>
      <c r="BB446" s="439">
        <f t="shared" ca="1" si="428"/>
        <v>3370.6740736682104</v>
      </c>
      <c r="BC446" s="439">
        <f t="shared" ca="1" si="428"/>
        <v>3316.3353086416855</v>
      </c>
      <c r="BD446" s="440">
        <f t="shared" ca="1" si="428"/>
        <v>11184.748331292569</v>
      </c>
      <c r="BE446" s="440">
        <f t="shared" ca="1" si="428"/>
        <v>14539.851790473938</v>
      </c>
      <c r="BF446" s="440">
        <f t="shared" ca="1" si="428"/>
        <v>18599.208737247034</v>
      </c>
      <c r="BG446" s="440">
        <f t="shared" ca="1" si="428"/>
        <v>23325.721244325301</v>
      </c>
      <c r="BH446" s="361"/>
    </row>
    <row r="447" spans="1:60" s="356" customFormat="1" x14ac:dyDescent="0.25">
      <c r="A447" s="361" t="s">
        <v>156</v>
      </c>
      <c r="B447" s="450"/>
      <c r="C447" s="35">
        <f t="shared" ref="C447:AH447" si="429">C446+C439</f>
        <v>-55.166000000000004</v>
      </c>
      <c r="D447" s="35">
        <f t="shared" si="429"/>
        <v>-156.77100000000002</v>
      </c>
      <c r="E447" s="35">
        <f t="shared" si="429"/>
        <v>-387.48799999999994</v>
      </c>
      <c r="F447" s="35">
        <f t="shared" si="429"/>
        <v>-548.12800000000016</v>
      </c>
      <c r="G447" s="361">
        <f t="shared" si="429"/>
        <v>-22.530999999999992</v>
      </c>
      <c r="H447" s="361">
        <f t="shared" si="429"/>
        <v>-13.396000000000011</v>
      </c>
      <c r="I447" s="361">
        <f t="shared" si="429"/>
        <v>-59.567999999999977</v>
      </c>
      <c r="J447" s="361">
        <f t="shared" si="429"/>
        <v>-52.88300000000001</v>
      </c>
      <c r="K447" s="35">
        <f t="shared" si="429"/>
        <v>-148.37799999999999</v>
      </c>
      <c r="L447" s="361">
        <f t="shared" si="429"/>
        <v>-99.135000000000005</v>
      </c>
      <c r="M447" s="361">
        <f t="shared" si="429"/>
        <v>-112.10199999999998</v>
      </c>
      <c r="N447" s="361">
        <f t="shared" si="429"/>
        <v>-217.48600000000005</v>
      </c>
      <c r="O447" s="361">
        <f t="shared" si="429"/>
        <v>-341.67399999999998</v>
      </c>
      <c r="P447" s="35">
        <f t="shared" si="429"/>
        <v>-770.39699999999993</v>
      </c>
      <c r="Q447" s="361">
        <f t="shared" si="429"/>
        <v>-402.66900000000004</v>
      </c>
      <c r="R447" s="361">
        <f t="shared" si="429"/>
        <v>-434.63</v>
      </c>
      <c r="S447" s="361">
        <f t="shared" si="429"/>
        <v>-403.29599999999982</v>
      </c>
      <c r="T447" s="361">
        <f t="shared" si="429"/>
        <v>-425.46500000000009</v>
      </c>
      <c r="U447" s="35">
        <f t="shared" si="429"/>
        <v>-1666.06</v>
      </c>
      <c r="V447" s="361">
        <f t="shared" si="429"/>
        <v>-195.435</v>
      </c>
      <c r="W447" s="36">
        <f t="shared" si="429"/>
        <v>-303.86800000000005</v>
      </c>
      <c r="X447" s="36">
        <f t="shared" si="429"/>
        <v>211.75899999999996</v>
      </c>
      <c r="Y447" s="361">
        <f t="shared" si="429"/>
        <v>-582.89499999999975</v>
      </c>
      <c r="Z447" s="35">
        <f t="shared" si="429"/>
        <v>-870.43899999999996</v>
      </c>
      <c r="AA447" s="361">
        <f t="shared" si="429"/>
        <v>-643.29900000000009</v>
      </c>
      <c r="AB447" s="36">
        <f t="shared" si="429"/>
        <v>-937.16800000000001</v>
      </c>
      <c r="AC447" s="36">
        <f t="shared" si="429"/>
        <v>-1362.3630000000005</v>
      </c>
      <c r="AD447" s="361">
        <f t="shared" si="429"/>
        <v>-964.41899999999964</v>
      </c>
      <c r="AE447" s="35">
        <f t="shared" si="429"/>
        <v>-3907.2489999999998</v>
      </c>
      <c r="AF447" s="361">
        <f t="shared" si="429"/>
        <v>-854.529</v>
      </c>
      <c r="AG447" s="36">
        <f t="shared" si="429"/>
        <v>-696.49099999999987</v>
      </c>
      <c r="AH447" s="36">
        <f t="shared" si="429"/>
        <v>411.23199999999997</v>
      </c>
      <c r="AI447" s="361">
        <f t="shared" ref="AI447:AY447" si="430">AI446+AI439</f>
        <v>632.81899999999962</v>
      </c>
      <c r="AJ447" s="35">
        <f t="shared" si="430"/>
        <v>-506.96900000000039</v>
      </c>
      <c r="AK447" s="361">
        <f t="shared" si="430"/>
        <v>-353.95500000000004</v>
      </c>
      <c r="AL447" s="36">
        <f t="shared" si="430"/>
        <v>239.74899999999994</v>
      </c>
      <c r="AM447" s="36">
        <f t="shared" si="430"/>
        <v>475.20600000000013</v>
      </c>
      <c r="AN447" s="361">
        <f t="shared" si="430"/>
        <v>645</v>
      </c>
      <c r="AO447" s="35">
        <f t="shared" si="430"/>
        <v>1006</v>
      </c>
      <c r="AP447" s="361">
        <f t="shared" si="430"/>
        <v>459</v>
      </c>
      <c r="AQ447" s="36">
        <f t="shared" si="430"/>
        <v>601</v>
      </c>
      <c r="AR447" s="36">
        <f>AR446+AR439</f>
        <v>686</v>
      </c>
      <c r="AS447" s="361">
        <f>AS446+AS439</f>
        <v>563</v>
      </c>
      <c r="AT447" s="35">
        <f>AT446+AT439</f>
        <v>2309</v>
      </c>
      <c r="AU447" s="361">
        <f t="shared" ref="AU447" si="431">AU446+AU439</f>
        <v>261</v>
      </c>
      <c r="AV447" s="36">
        <f>AV446+AV439</f>
        <v>900</v>
      </c>
      <c r="AW447" s="792">
        <f>AW446+AW439</f>
        <v>1280</v>
      </c>
      <c r="AX447" s="439">
        <f t="shared" ca="1" si="430"/>
        <v>1642.4154390238041</v>
      </c>
      <c r="AY447" s="440">
        <f t="shared" ca="1" si="430"/>
        <v>4083.4154390238036</v>
      </c>
      <c r="AZ447" s="439">
        <f t="shared" ref="AZ447:BG447" ca="1" si="432">AZ446+AZ439</f>
        <v>2011.9556413243135</v>
      </c>
      <c r="BA447" s="439">
        <f t="shared" ca="1" si="432"/>
        <v>2405.783307658357</v>
      </c>
      <c r="BB447" s="439">
        <f t="shared" ca="1" si="432"/>
        <v>3330.6740736682104</v>
      </c>
      <c r="BC447" s="439">
        <f t="shared" ca="1" si="432"/>
        <v>3276.3353086416855</v>
      </c>
      <c r="BD447" s="440">
        <f t="shared" ca="1" si="432"/>
        <v>11024.748331292569</v>
      </c>
      <c r="BE447" s="440">
        <f t="shared" ca="1" si="432"/>
        <v>14379.851790473938</v>
      </c>
      <c r="BF447" s="440">
        <f t="shared" ca="1" si="432"/>
        <v>18439.208737247034</v>
      </c>
      <c r="BG447" s="440">
        <f t="shared" ca="1" si="432"/>
        <v>23165.721244325301</v>
      </c>
      <c r="BH447" s="361"/>
    </row>
    <row r="448" spans="1:60" s="356" customFormat="1" x14ac:dyDescent="0.25">
      <c r="A448" s="361" t="s">
        <v>157</v>
      </c>
      <c r="B448" s="450"/>
      <c r="C448" s="35">
        <f t="shared" ref="C448:AH448" si="433">C447+C437+C438</f>
        <v>-55.166000000000004</v>
      </c>
      <c r="D448" s="35">
        <f t="shared" si="433"/>
        <v>-221.98099999999999</v>
      </c>
      <c r="E448" s="35">
        <f t="shared" si="433"/>
        <v>-387.48799999999994</v>
      </c>
      <c r="F448" s="35">
        <f t="shared" si="433"/>
        <v>-548.12800000000016</v>
      </c>
      <c r="G448" s="361">
        <f t="shared" si="433"/>
        <v>-22.530999999999992</v>
      </c>
      <c r="H448" s="361">
        <f t="shared" si="433"/>
        <v>-13.396000000000011</v>
      </c>
      <c r="I448" s="361">
        <f t="shared" si="433"/>
        <v>-59.567999999999977</v>
      </c>
      <c r="J448" s="361">
        <f t="shared" si="433"/>
        <v>-52.88300000000001</v>
      </c>
      <c r="K448" s="35">
        <f t="shared" si="433"/>
        <v>-148.37799999999999</v>
      </c>
      <c r="L448" s="361">
        <f t="shared" si="433"/>
        <v>-99.135000000000005</v>
      </c>
      <c r="M448" s="361">
        <f t="shared" si="433"/>
        <v>-112.10199999999998</v>
      </c>
      <c r="N448" s="361">
        <f t="shared" si="433"/>
        <v>-217.48600000000005</v>
      </c>
      <c r="O448" s="361">
        <f t="shared" si="433"/>
        <v>-341.67399999999998</v>
      </c>
      <c r="P448" s="35">
        <f t="shared" si="433"/>
        <v>-770.39699999999993</v>
      </c>
      <c r="Q448" s="361">
        <f t="shared" si="433"/>
        <v>-402.66900000000004</v>
      </c>
      <c r="R448" s="361">
        <f t="shared" si="433"/>
        <v>-446.89</v>
      </c>
      <c r="S448" s="361">
        <f t="shared" si="433"/>
        <v>-403.29599999999982</v>
      </c>
      <c r="T448" s="361">
        <f t="shared" si="433"/>
        <v>-425.46500000000009</v>
      </c>
      <c r="U448" s="35">
        <f t="shared" si="433"/>
        <v>-1678.32</v>
      </c>
      <c r="V448" s="361">
        <f t="shared" si="433"/>
        <v>-195.435</v>
      </c>
      <c r="W448" s="36">
        <f t="shared" si="433"/>
        <v>-303.86800000000005</v>
      </c>
      <c r="X448" s="36">
        <f t="shared" si="433"/>
        <v>211.75899999999996</v>
      </c>
      <c r="Y448" s="361">
        <f t="shared" si="433"/>
        <v>-369.37199999999973</v>
      </c>
      <c r="Z448" s="35">
        <f t="shared" si="433"/>
        <v>-656.91599999999994</v>
      </c>
      <c r="AA448" s="361">
        <f t="shared" si="433"/>
        <v>-752.44600000000014</v>
      </c>
      <c r="AB448" s="36">
        <f t="shared" si="433"/>
        <v>-937.16800000000001</v>
      </c>
      <c r="AC448" s="36">
        <f t="shared" si="433"/>
        <v>-1362.3630000000005</v>
      </c>
      <c r="AD448" s="361">
        <f t="shared" si="433"/>
        <v>-969.79499999999962</v>
      </c>
      <c r="AE448" s="35">
        <f t="shared" si="433"/>
        <v>-4021.7719999999999</v>
      </c>
      <c r="AF448" s="361">
        <f t="shared" si="433"/>
        <v>-854.529</v>
      </c>
      <c r="AG448" s="36">
        <f t="shared" si="433"/>
        <v>-702.09499999999991</v>
      </c>
      <c r="AH448" s="36">
        <f t="shared" si="433"/>
        <v>410.03199999999998</v>
      </c>
      <c r="AI448" s="361">
        <f t="shared" ref="AI448:AY448" si="434">AI447+AI437+AI438</f>
        <v>621.71099999999967</v>
      </c>
      <c r="AJ448" s="35">
        <f t="shared" si="434"/>
        <v>-524.88100000000043</v>
      </c>
      <c r="AK448" s="361">
        <f t="shared" si="434"/>
        <v>-354.60500000000002</v>
      </c>
      <c r="AL448" s="36">
        <f t="shared" si="434"/>
        <v>271.41099999999994</v>
      </c>
      <c r="AM448" s="36">
        <f t="shared" si="434"/>
        <v>399.19400000000013</v>
      </c>
      <c r="AN448" s="361">
        <f t="shared" si="434"/>
        <v>645</v>
      </c>
      <c r="AO448" s="35">
        <f t="shared" si="434"/>
        <v>961</v>
      </c>
      <c r="AP448" s="361">
        <f t="shared" si="434"/>
        <v>459</v>
      </c>
      <c r="AQ448" s="36">
        <f t="shared" si="434"/>
        <v>601</v>
      </c>
      <c r="AR448" s="36">
        <f>AR447+AR437+AR438</f>
        <v>673</v>
      </c>
      <c r="AS448" s="361">
        <f>AS447+AS437+AS438</f>
        <v>563</v>
      </c>
      <c r="AT448" s="35">
        <f>AT447+AT437+AT438</f>
        <v>2296</v>
      </c>
      <c r="AU448" s="361">
        <f t="shared" ref="AU448" si="435">AU447+AU437+AU438</f>
        <v>261</v>
      </c>
      <c r="AV448" s="36">
        <f>AV447+AV437+AV438</f>
        <v>900</v>
      </c>
      <c r="AW448" s="792">
        <f>AW447+AW437+AW438</f>
        <v>1280</v>
      </c>
      <c r="AX448" s="439">
        <f t="shared" ca="1" si="434"/>
        <v>1642.4154390238041</v>
      </c>
      <c r="AY448" s="440">
        <f t="shared" ca="1" si="434"/>
        <v>4083.4154390238036</v>
      </c>
      <c r="AZ448" s="439">
        <f t="shared" ref="AZ448:BG448" ca="1" si="436">AZ447+AZ437+AZ438</f>
        <v>2011.9556413243135</v>
      </c>
      <c r="BA448" s="439">
        <f t="shared" ca="1" si="436"/>
        <v>2405.783307658357</v>
      </c>
      <c r="BB448" s="439">
        <f t="shared" ca="1" si="436"/>
        <v>3330.6740736682104</v>
      </c>
      <c r="BC448" s="439">
        <f t="shared" ca="1" si="436"/>
        <v>3276.3353086416855</v>
      </c>
      <c r="BD448" s="440">
        <f t="shared" ca="1" si="436"/>
        <v>11024.748331292569</v>
      </c>
      <c r="BE448" s="440">
        <f t="shared" ca="1" si="436"/>
        <v>14379.851790473938</v>
      </c>
      <c r="BF448" s="440">
        <f t="shared" ca="1" si="436"/>
        <v>18439.208737247034</v>
      </c>
      <c r="BG448" s="440">
        <f t="shared" ca="1" si="436"/>
        <v>23165.721244325301</v>
      </c>
      <c r="BH448" s="361"/>
    </row>
    <row r="449" spans="1:60" s="356" customFormat="1" x14ac:dyDescent="0.25">
      <c r="A449" s="368" t="s">
        <v>513</v>
      </c>
      <c r="B449" s="531"/>
      <c r="C449" s="33">
        <f t="shared" ref="C449:AH449" si="437">C448+C442+C443</f>
        <v>102.29900000000001</v>
      </c>
      <c r="D449" s="33">
        <f t="shared" si="437"/>
        <v>119.72400000000002</v>
      </c>
      <c r="E449" s="33">
        <f t="shared" si="437"/>
        <v>58.512000000000057</v>
      </c>
      <c r="F449" s="33">
        <f t="shared" si="437"/>
        <v>-128.49300000000014</v>
      </c>
      <c r="G449" s="368">
        <f t="shared" si="437"/>
        <v>-18.846999999999994</v>
      </c>
      <c r="H449" s="368">
        <f t="shared" si="437"/>
        <v>777.35799999999995</v>
      </c>
      <c r="I449" s="368">
        <f t="shared" si="437"/>
        <v>-35.185999999999986</v>
      </c>
      <c r="J449" s="368">
        <f t="shared" si="437"/>
        <v>-41.84</v>
      </c>
      <c r="K449" s="33">
        <f t="shared" si="437"/>
        <v>681.48500000000001</v>
      </c>
      <c r="L449" s="368">
        <f t="shared" si="437"/>
        <v>2272.4459999999999</v>
      </c>
      <c r="M449" s="368">
        <f t="shared" si="437"/>
        <v>252.94600000000008</v>
      </c>
      <c r="N449" s="368">
        <f t="shared" si="437"/>
        <v>-183.73200000000006</v>
      </c>
      <c r="O449" s="368">
        <f t="shared" si="437"/>
        <v>-330.35</v>
      </c>
      <c r="P449" s="33">
        <f t="shared" si="437"/>
        <v>2011.3100000000002</v>
      </c>
      <c r="Q449" s="368">
        <f t="shared" si="437"/>
        <v>-215.55500000000001</v>
      </c>
      <c r="R449" s="368">
        <f t="shared" si="437"/>
        <v>-224.25300000000001</v>
      </c>
      <c r="S449" s="368">
        <f t="shared" si="437"/>
        <v>501.99600000000015</v>
      </c>
      <c r="T449" s="368">
        <f t="shared" si="437"/>
        <v>-199.96000000000009</v>
      </c>
      <c r="U449" s="33">
        <f t="shared" si="437"/>
        <v>-137.77199999999993</v>
      </c>
      <c r="V449" s="368">
        <f t="shared" si="437"/>
        <v>521.03800000000001</v>
      </c>
      <c r="W449" s="34">
        <f t="shared" si="437"/>
        <v>1687.443</v>
      </c>
      <c r="X449" s="34">
        <f t="shared" si="437"/>
        <v>-106.80399999999996</v>
      </c>
      <c r="Y449" s="368">
        <f t="shared" si="437"/>
        <v>825.14800000000002</v>
      </c>
      <c r="Z449" s="33">
        <f t="shared" si="437"/>
        <v>2926.8249999999998</v>
      </c>
      <c r="AA449" s="368">
        <f t="shared" si="437"/>
        <v>983.19199999999978</v>
      </c>
      <c r="AB449" s="34">
        <f t="shared" si="437"/>
        <v>-887.06000000000006</v>
      </c>
      <c r="AC449" s="34">
        <f t="shared" si="437"/>
        <v>734.34199999999987</v>
      </c>
      <c r="AD449" s="368">
        <f t="shared" si="437"/>
        <v>-697.65599999999949</v>
      </c>
      <c r="AE449" s="33">
        <f t="shared" si="437"/>
        <v>132.81800000000044</v>
      </c>
      <c r="AF449" s="368">
        <f t="shared" si="437"/>
        <v>-497.7969999999998</v>
      </c>
      <c r="AG449" s="34">
        <f t="shared" si="437"/>
        <v>-425.44499999999971</v>
      </c>
      <c r="AH449" s="34">
        <f t="shared" si="437"/>
        <v>282.96999999999969</v>
      </c>
      <c r="AI449" s="368">
        <f t="shared" ref="AI449:AY449" si="438">AI448+AI442+AI443</f>
        <v>500.24599999999975</v>
      </c>
      <c r="AJ449" s="33">
        <f t="shared" si="438"/>
        <v>-140.02600000000115</v>
      </c>
      <c r="AK449" s="368">
        <f t="shared" si="438"/>
        <v>-953.8420000000001</v>
      </c>
      <c r="AL449" s="34">
        <f t="shared" si="438"/>
        <v>2934.152</v>
      </c>
      <c r="AM449" s="34">
        <f t="shared" si="438"/>
        <v>517.69000000000028</v>
      </c>
      <c r="AN449" s="368">
        <f t="shared" si="438"/>
        <v>546</v>
      </c>
      <c r="AO449" s="33">
        <f t="shared" si="438"/>
        <v>3044</v>
      </c>
      <c r="AP449" s="368">
        <f t="shared" si="438"/>
        <v>3215</v>
      </c>
      <c r="AQ449" s="34">
        <f t="shared" si="438"/>
        <v>769</v>
      </c>
      <c r="AR449" s="34">
        <f>AR448+AR442+AR443</f>
        <v>5209</v>
      </c>
      <c r="AS449" s="368">
        <f>AS448+AS442+AS443</f>
        <v>3301</v>
      </c>
      <c r="AT449" s="33">
        <f>AT448+AT442+AT443</f>
        <v>12494</v>
      </c>
      <c r="AU449" s="368">
        <f t="shared" ref="AU449" si="439">AU448+AU442+AU443</f>
        <v>-723</v>
      </c>
      <c r="AV449" s="34">
        <f>AV448+AV442+AV443</f>
        <v>-618</v>
      </c>
      <c r="AW449" s="793">
        <f>AW448+AW442+AW443</f>
        <v>-49</v>
      </c>
      <c r="AX449" s="437">
        <f t="shared" ca="1" si="438"/>
        <v>1642.4154390238041</v>
      </c>
      <c r="AY449" s="438">
        <f t="shared" ca="1" si="438"/>
        <v>252.41543902380363</v>
      </c>
      <c r="AZ449" s="437">
        <f t="shared" ref="AZ449:BG449" ca="1" si="440">AZ448+AZ442+AZ443</f>
        <v>2011.9556413243135</v>
      </c>
      <c r="BA449" s="437">
        <f t="shared" ca="1" si="440"/>
        <v>2405.783307658357</v>
      </c>
      <c r="BB449" s="437">
        <f t="shared" ca="1" si="440"/>
        <v>3330.6740736682104</v>
      </c>
      <c r="BC449" s="437">
        <f t="shared" ca="1" si="440"/>
        <v>3276.3353086416855</v>
      </c>
      <c r="BD449" s="438">
        <f t="shared" ca="1" si="440"/>
        <v>11024.748331292569</v>
      </c>
      <c r="BE449" s="438">
        <f t="shared" ca="1" si="440"/>
        <v>14379.851790473938</v>
      </c>
      <c r="BF449" s="438">
        <f t="shared" ca="1" si="440"/>
        <v>18439.208737247034</v>
      </c>
      <c r="BG449" s="438">
        <f t="shared" ca="1" si="440"/>
        <v>23165.721244325301</v>
      </c>
      <c r="BH449" s="361"/>
    </row>
    <row r="450" spans="1:60" s="109" customFormat="1" x14ac:dyDescent="0.25">
      <c r="A450" s="1021"/>
      <c r="B450" s="214"/>
      <c r="C450" s="1051"/>
      <c r="D450" s="1051"/>
      <c r="E450" s="1051"/>
      <c r="F450" s="1051"/>
      <c r="G450" s="1052"/>
      <c r="H450" s="1052"/>
      <c r="I450" s="1052"/>
      <c r="J450" s="1052"/>
      <c r="K450" s="1051"/>
      <c r="L450" s="1052"/>
      <c r="M450" s="1052"/>
      <c r="N450" s="1052"/>
      <c r="O450" s="1052"/>
      <c r="P450" s="1051"/>
      <c r="Q450" s="1052"/>
      <c r="R450" s="1052"/>
      <c r="S450" s="1052"/>
      <c r="T450" s="1052"/>
      <c r="U450" s="1051"/>
      <c r="V450" s="1052"/>
      <c r="W450" s="1052"/>
      <c r="X450" s="1052"/>
      <c r="Y450" s="1052"/>
      <c r="Z450" s="1051"/>
      <c r="AA450" s="1052"/>
      <c r="AB450" s="1052"/>
      <c r="AC450" s="1052"/>
      <c r="AD450" s="1052"/>
      <c r="AE450" s="1051"/>
      <c r="AF450" s="1052"/>
      <c r="AG450" s="1052"/>
      <c r="AH450" s="1052"/>
      <c r="AI450" s="1052"/>
      <c r="AJ450" s="1051"/>
      <c r="AK450" s="1052"/>
      <c r="AL450" s="1052"/>
      <c r="AM450" s="1052"/>
      <c r="AN450" s="1052"/>
      <c r="AO450" s="1051"/>
      <c r="AP450" s="1052"/>
      <c r="AQ450" s="1052"/>
      <c r="AR450" s="1052"/>
      <c r="AS450" s="1052"/>
      <c r="AT450" s="1051"/>
      <c r="AU450" s="1052"/>
      <c r="AV450" s="1052"/>
      <c r="AW450" s="1053"/>
      <c r="AX450" s="1052"/>
      <c r="AY450" s="1051"/>
      <c r="AZ450" s="1052"/>
      <c r="BA450" s="1052"/>
      <c r="BB450" s="1052"/>
      <c r="BC450" s="1052"/>
      <c r="BD450" s="1051"/>
      <c r="BE450" s="1051"/>
      <c r="BF450" s="1051"/>
      <c r="BG450" s="1051"/>
      <c r="BH450" s="1024"/>
    </row>
    <row r="451" spans="1:60" s="112" customFormat="1" x14ac:dyDescent="0.25">
      <c r="A451" s="1020" t="s">
        <v>158</v>
      </c>
      <c r="B451" s="1020"/>
      <c r="C451" s="1043"/>
      <c r="D451" s="1043"/>
      <c r="E451" s="1043"/>
      <c r="F451" s="1043"/>
      <c r="G451" s="1043"/>
      <c r="H451" s="1043"/>
      <c r="I451" s="1043"/>
      <c r="J451" s="1043"/>
      <c r="K451" s="1043"/>
      <c r="L451" s="1043"/>
      <c r="M451" s="1043"/>
      <c r="N451" s="1043"/>
      <c r="O451" s="1043"/>
      <c r="P451" s="1043"/>
      <c r="Q451" s="1043"/>
      <c r="R451" s="1043"/>
      <c r="S451" s="1043"/>
      <c r="T451" s="1043"/>
      <c r="U451" s="1043"/>
      <c r="V451" s="1043"/>
      <c r="W451" s="1043"/>
      <c r="X451" s="1043"/>
      <c r="Y451" s="1043"/>
      <c r="Z451" s="1043"/>
      <c r="AA451" s="1043"/>
      <c r="AB451" s="1043"/>
      <c r="AC451" s="1043"/>
      <c r="AD451" s="1043"/>
      <c r="AE451" s="1043"/>
      <c r="AF451" s="1043"/>
      <c r="AG451" s="1043"/>
      <c r="AH451" s="1043"/>
      <c r="AI451" s="1043"/>
      <c r="AJ451" s="1043"/>
      <c r="AK451" s="1043"/>
      <c r="AL451" s="1043"/>
      <c r="AM451" s="1043"/>
      <c r="AN451" s="1043"/>
      <c r="AO451" s="1043"/>
      <c r="AP451" s="1043"/>
      <c r="AQ451" s="1043"/>
      <c r="AR451" s="1043"/>
      <c r="AS451" s="1043"/>
      <c r="AT451" s="1043"/>
      <c r="AU451" s="1043"/>
      <c r="AV451" s="1043"/>
      <c r="AW451" s="1044"/>
      <c r="AX451" s="1043"/>
      <c r="AY451" s="1043"/>
      <c r="AZ451" s="1043"/>
      <c r="BA451" s="1043"/>
      <c r="BB451" s="1043"/>
      <c r="BC451" s="1043"/>
      <c r="BD451" s="1043"/>
      <c r="BE451" s="1043"/>
      <c r="BF451" s="1043"/>
      <c r="BG451" s="1043"/>
      <c r="BH451" s="1034"/>
    </row>
    <row r="452" spans="1:60" s="356" customFormat="1" x14ac:dyDescent="0.25">
      <c r="A452" s="361" t="s">
        <v>159</v>
      </c>
      <c r="B452" s="450"/>
      <c r="C452" s="35">
        <f t="shared" ref="C452:AH452" si="441">C715+C716+C717</f>
        <v>69.626999999999995</v>
      </c>
      <c r="D452" s="35">
        <f t="shared" si="441"/>
        <v>173.155</v>
      </c>
      <c r="E452" s="35">
        <f t="shared" si="441"/>
        <v>303.803</v>
      </c>
      <c r="F452" s="35">
        <f t="shared" si="441"/>
        <v>220.98399999999998</v>
      </c>
      <c r="G452" s="361">
        <f t="shared" si="441"/>
        <v>231.136</v>
      </c>
      <c r="H452" s="361">
        <f t="shared" si="441"/>
        <v>747.41899999999998</v>
      </c>
      <c r="I452" s="361">
        <f t="shared" si="441"/>
        <v>796.38099999999997</v>
      </c>
      <c r="J452" s="361">
        <f t="shared" si="441"/>
        <v>848.90099999999995</v>
      </c>
      <c r="K452" s="35">
        <f t="shared" si="441"/>
        <v>848.90099999999995</v>
      </c>
      <c r="L452" s="361">
        <f t="shared" si="441"/>
        <v>2584.0679999999998</v>
      </c>
      <c r="M452" s="361">
        <f t="shared" si="441"/>
        <v>2686.6239999999998</v>
      </c>
      <c r="N452" s="361">
        <f t="shared" si="441"/>
        <v>2388.0660000000003</v>
      </c>
      <c r="O452" s="361">
        <f t="shared" si="441"/>
        <v>1923.6599999999999</v>
      </c>
      <c r="P452" s="35">
        <f t="shared" si="441"/>
        <v>1923.6599999999999</v>
      </c>
      <c r="Q452" s="361">
        <f t="shared" si="441"/>
        <v>1530.769</v>
      </c>
      <c r="R452" s="361">
        <f t="shared" si="441"/>
        <v>1171.2639999999999</v>
      </c>
      <c r="S452" s="361">
        <f t="shared" si="441"/>
        <v>1451.259</v>
      </c>
      <c r="T452" s="361">
        <f t="shared" si="441"/>
        <v>1219.5359999999998</v>
      </c>
      <c r="U452" s="35">
        <f t="shared" si="441"/>
        <v>1219.5359999999998</v>
      </c>
      <c r="V452" s="361">
        <f t="shared" si="441"/>
        <v>1465.769</v>
      </c>
      <c r="W452" s="36">
        <f t="shared" si="441"/>
        <v>3270.826</v>
      </c>
      <c r="X452" s="36">
        <f t="shared" si="441"/>
        <v>3107.9679999999998</v>
      </c>
      <c r="Y452" s="361">
        <f t="shared" si="441"/>
        <v>3498.7349999999997</v>
      </c>
      <c r="Z452" s="35">
        <f t="shared" si="441"/>
        <v>3498.7349999999997</v>
      </c>
      <c r="AA452" s="361">
        <f t="shared" si="441"/>
        <v>4095.5389999999998</v>
      </c>
      <c r="AB452" s="36">
        <f t="shared" si="441"/>
        <v>3154.2930000000001</v>
      </c>
      <c r="AC452" s="36">
        <f t="shared" si="441"/>
        <v>3668.2110000000002</v>
      </c>
      <c r="AD452" s="361">
        <f t="shared" si="441"/>
        <v>3523.2370000000001</v>
      </c>
      <c r="AE452" s="35">
        <f t="shared" si="441"/>
        <v>3523.2370000000001</v>
      </c>
      <c r="AF452" s="361">
        <f t="shared" si="441"/>
        <v>2785.8669999999997</v>
      </c>
      <c r="AG452" s="36">
        <f t="shared" si="441"/>
        <v>2383.2460000000001</v>
      </c>
      <c r="AH452" s="36">
        <f t="shared" si="441"/>
        <v>3126.1309999999999</v>
      </c>
      <c r="AI452" s="361">
        <f t="shared" ref="AI452:AY452" si="442">AI715+AI716+AI717</f>
        <v>3878.1689999999999</v>
      </c>
      <c r="AJ452" s="35">
        <f t="shared" si="442"/>
        <v>3878.1689999999999</v>
      </c>
      <c r="AK452" s="361">
        <f t="shared" si="442"/>
        <v>2329.1189999999997</v>
      </c>
      <c r="AL452" s="36">
        <f t="shared" si="442"/>
        <v>5082.7460000000001</v>
      </c>
      <c r="AM452" s="36">
        <f t="shared" si="442"/>
        <v>5571</v>
      </c>
      <c r="AN452" s="361">
        <f t="shared" si="442"/>
        <v>6514</v>
      </c>
      <c r="AO452" s="35">
        <f t="shared" si="442"/>
        <v>6514</v>
      </c>
      <c r="AP452" s="361">
        <f t="shared" si="442"/>
        <v>8273</v>
      </c>
      <c r="AQ452" s="36">
        <f t="shared" si="442"/>
        <v>8818</v>
      </c>
      <c r="AR452" s="36">
        <f>AR715+AR716+AR717</f>
        <v>14705</v>
      </c>
      <c r="AS452" s="361">
        <f>AS715+AS716+AS717</f>
        <v>19622</v>
      </c>
      <c r="AT452" s="35">
        <f>AT715+AT716+AT717</f>
        <v>19622</v>
      </c>
      <c r="AU452" s="361">
        <f t="shared" ref="AU452" si="443">AU715+AU716+AU717</f>
        <v>17446</v>
      </c>
      <c r="AV452" s="36">
        <f>AV715+AV716+AV717</f>
        <v>16555</v>
      </c>
      <c r="AW452" s="792">
        <f>AW715+AW716+AW717</f>
        <v>16422</v>
      </c>
      <c r="AX452" s="439">
        <f t="shared" ca="1" si="442"/>
        <v>17582.070557489635</v>
      </c>
      <c r="AY452" s="440">
        <f t="shared" ca="1" si="442"/>
        <v>17582.070557489635</v>
      </c>
      <c r="AZ452" s="439">
        <f t="shared" ref="AZ452:BG452" ca="1" si="444">AZ715+AZ716+AZ717</f>
        <v>19895.031639973015</v>
      </c>
      <c r="BA452" s="439">
        <f t="shared" ca="1" si="444"/>
        <v>22747.861954298995</v>
      </c>
      <c r="BB452" s="439">
        <f t="shared" ca="1" si="444"/>
        <v>28411.823911835505</v>
      </c>
      <c r="BC452" s="439">
        <f t="shared" ca="1" si="444"/>
        <v>31235.219126236723</v>
      </c>
      <c r="BD452" s="440">
        <f t="shared" ca="1" si="444"/>
        <v>31235.219126236723</v>
      </c>
      <c r="BE452" s="440">
        <f t="shared" ca="1" si="444"/>
        <v>43625.518503970656</v>
      </c>
      <c r="BF452" s="440">
        <f t="shared" ca="1" si="444"/>
        <v>60204.834588945974</v>
      </c>
      <c r="BG452" s="440">
        <f t="shared" ca="1" si="444"/>
        <v>81696.80515424606</v>
      </c>
      <c r="BH452" s="361"/>
    </row>
    <row r="453" spans="1:60" s="356" customFormat="1" x14ac:dyDescent="0.25">
      <c r="A453" s="360" t="s">
        <v>506</v>
      </c>
      <c r="B453" s="450"/>
      <c r="C453" s="35">
        <f t="shared" ref="C453:AT453" si="445">C757+C761+C762</f>
        <v>0.28999999999999998</v>
      </c>
      <c r="D453" s="35">
        <f t="shared" si="445"/>
        <v>0.27900000000000003</v>
      </c>
      <c r="E453" s="35">
        <f t="shared" si="445"/>
        <v>8.9830000000000005</v>
      </c>
      <c r="F453" s="35">
        <f t="shared" si="445"/>
        <v>55.206000000000003</v>
      </c>
      <c r="G453" s="361">
        <f t="shared" si="445"/>
        <v>56.292999999999999</v>
      </c>
      <c r="H453" s="361">
        <f t="shared" si="445"/>
        <v>5.6950000000000003</v>
      </c>
      <c r="I453" s="361">
        <f t="shared" si="445"/>
        <v>588.47299999999996</v>
      </c>
      <c r="J453" s="361">
        <f t="shared" si="445"/>
        <v>7.9040000000000008</v>
      </c>
      <c r="K453" s="35">
        <f t="shared" si="445"/>
        <v>7.9040000000000008</v>
      </c>
      <c r="L453" s="361">
        <f t="shared" si="445"/>
        <v>598.27200000000005</v>
      </c>
      <c r="M453" s="361">
        <f t="shared" si="445"/>
        <v>603.41200000000003</v>
      </c>
      <c r="N453" s="361">
        <f t="shared" si="445"/>
        <v>607.21799999999996</v>
      </c>
      <c r="O453" s="361">
        <f t="shared" si="445"/>
        <v>611.09900000000005</v>
      </c>
      <c r="P453" s="35">
        <f t="shared" si="445"/>
        <v>611.09900000000005</v>
      </c>
      <c r="Q453" s="361">
        <f t="shared" si="445"/>
        <v>630.33199999999999</v>
      </c>
      <c r="R453" s="361">
        <f t="shared" si="445"/>
        <v>638.27500000000009</v>
      </c>
      <c r="S453" s="361">
        <f t="shared" si="445"/>
        <v>651.80899999999997</v>
      </c>
      <c r="T453" s="361">
        <f t="shared" si="445"/>
        <v>633.16600000000005</v>
      </c>
      <c r="U453" s="35">
        <f t="shared" si="445"/>
        <v>633.16600000000005</v>
      </c>
      <c r="V453" s="361">
        <f t="shared" si="445"/>
        <v>635.28499999999997</v>
      </c>
      <c r="W453" s="36">
        <f t="shared" si="445"/>
        <v>626.82600000000002</v>
      </c>
      <c r="X453" s="36">
        <f t="shared" si="445"/>
        <v>260.77100000000002</v>
      </c>
      <c r="Y453" s="361">
        <f t="shared" si="445"/>
        <v>1150.1469999999999</v>
      </c>
      <c r="Z453" s="35">
        <f t="shared" si="445"/>
        <v>1150.1469999999999</v>
      </c>
      <c r="AA453" s="361">
        <f t="shared" si="445"/>
        <v>1003.311</v>
      </c>
      <c r="AB453" s="36">
        <f t="shared" si="445"/>
        <v>816.53300000000002</v>
      </c>
      <c r="AC453" s="36">
        <f t="shared" si="445"/>
        <v>424.22399999999999</v>
      </c>
      <c r="AD453" s="361">
        <f t="shared" si="445"/>
        <v>896.54899999999998</v>
      </c>
      <c r="AE453" s="35">
        <f t="shared" si="445"/>
        <v>896.54899999999998</v>
      </c>
      <c r="AF453" s="361">
        <f t="shared" si="445"/>
        <v>1998.03</v>
      </c>
      <c r="AG453" s="36">
        <f t="shared" si="445"/>
        <v>2103.1849999999999</v>
      </c>
      <c r="AH453" s="36">
        <f t="shared" si="445"/>
        <v>2106.538</v>
      </c>
      <c r="AI453" s="361">
        <f t="shared" si="445"/>
        <v>2567.6990000000001</v>
      </c>
      <c r="AJ453" s="35">
        <f t="shared" si="445"/>
        <v>2567.6990000000001</v>
      </c>
      <c r="AK453" s="361">
        <f t="shared" si="445"/>
        <v>1705.711</v>
      </c>
      <c r="AL453" s="36">
        <f t="shared" si="445"/>
        <v>1791.085</v>
      </c>
      <c r="AM453" s="36">
        <f t="shared" si="445"/>
        <v>2030</v>
      </c>
      <c r="AN453" s="361">
        <f t="shared" si="445"/>
        <v>1785</v>
      </c>
      <c r="AO453" s="35">
        <f t="shared" si="445"/>
        <v>1785</v>
      </c>
      <c r="AP453" s="361">
        <f t="shared" si="445"/>
        <v>3217</v>
      </c>
      <c r="AQ453" s="36">
        <f t="shared" si="445"/>
        <v>3679</v>
      </c>
      <c r="AR453" s="36">
        <f t="shared" si="445"/>
        <v>3126</v>
      </c>
      <c r="AS453" s="361">
        <f t="shared" si="445"/>
        <v>2132</v>
      </c>
      <c r="AT453" s="35">
        <f t="shared" si="445"/>
        <v>2132</v>
      </c>
      <c r="AU453" s="361">
        <f t="shared" ref="AU453" si="446">AU757+AU761+AU762</f>
        <v>1819</v>
      </c>
      <c r="AV453" s="36">
        <f>AV757+AV761+AV762</f>
        <v>1530</v>
      </c>
      <c r="AW453" s="792">
        <f>AW757+AW761+AW762</f>
        <v>1716</v>
      </c>
      <c r="AX453" s="439">
        <f>AX455-AX454</f>
        <v>1716</v>
      </c>
      <c r="AY453" s="440">
        <f>AY757+AY761+AY762</f>
        <v>1716</v>
      </c>
      <c r="AZ453" s="439">
        <f>AZ455-AZ454</f>
        <v>1716</v>
      </c>
      <c r="BA453" s="439">
        <f>BA455-BA454</f>
        <v>1716</v>
      </c>
      <c r="BB453" s="439">
        <f>BB455-BB454</f>
        <v>1716</v>
      </c>
      <c r="BC453" s="439">
        <f>BC455-BC454</f>
        <v>1716</v>
      </c>
      <c r="BD453" s="440">
        <f>BD757+BD761+BD762</f>
        <v>1716</v>
      </c>
      <c r="BE453" s="440">
        <f>BE455-BE454</f>
        <v>1716</v>
      </c>
      <c r="BF453" s="440">
        <f>BF455-BF454</f>
        <v>1716</v>
      </c>
      <c r="BG453" s="440">
        <f>BG455-BG454</f>
        <v>1716</v>
      </c>
      <c r="BH453" s="361"/>
    </row>
    <row r="454" spans="1:60" s="356" customFormat="1" x14ac:dyDescent="0.25">
      <c r="A454" s="362" t="s">
        <v>507</v>
      </c>
      <c r="B454" s="671"/>
      <c r="C454" s="561">
        <f t="shared" ref="C454:AT454" si="447">C767+C770+C771+C775</f>
        <v>2.5339999999999998</v>
      </c>
      <c r="D454" s="561">
        <f t="shared" si="447"/>
        <v>72.323999999999998</v>
      </c>
      <c r="E454" s="561">
        <f t="shared" si="447"/>
        <v>271.16499999999996</v>
      </c>
      <c r="F454" s="561">
        <f t="shared" si="447"/>
        <v>411.46</v>
      </c>
      <c r="G454" s="363">
        <f t="shared" si="447"/>
        <v>399.245</v>
      </c>
      <c r="H454" s="363">
        <f t="shared" si="447"/>
        <v>587.98900000000003</v>
      </c>
      <c r="I454" s="363">
        <f t="shared" si="447"/>
        <v>88.429000000000002</v>
      </c>
      <c r="J454" s="363">
        <f t="shared" si="447"/>
        <v>598.97400000000005</v>
      </c>
      <c r="K454" s="561">
        <f t="shared" si="447"/>
        <v>598.97400000000005</v>
      </c>
      <c r="L454" s="363">
        <f t="shared" si="447"/>
        <v>1602.481</v>
      </c>
      <c r="M454" s="363">
        <f t="shared" si="447"/>
        <v>1847.2059999999999</v>
      </c>
      <c r="N454" s="363">
        <f t="shared" si="447"/>
        <v>1861.6020000000001</v>
      </c>
      <c r="O454" s="363">
        <f t="shared" si="447"/>
        <v>1876.981</v>
      </c>
      <c r="P454" s="561">
        <f t="shared" si="447"/>
        <v>1876.981</v>
      </c>
      <c r="Q454" s="363">
        <f t="shared" si="447"/>
        <v>1954.2140000000002</v>
      </c>
      <c r="R454" s="363">
        <f t="shared" si="447"/>
        <v>2049.616</v>
      </c>
      <c r="S454" s="363">
        <f t="shared" si="447"/>
        <v>2027.575</v>
      </c>
      <c r="T454" s="363">
        <f t="shared" si="447"/>
        <v>2082.42</v>
      </c>
      <c r="U454" s="561">
        <f t="shared" si="447"/>
        <v>2082.42</v>
      </c>
      <c r="V454" s="363">
        <f t="shared" si="447"/>
        <v>2526.9550000000004</v>
      </c>
      <c r="W454" s="470">
        <f t="shared" si="447"/>
        <v>2657.1480000000001</v>
      </c>
      <c r="X454" s="470">
        <f t="shared" si="447"/>
        <v>2454.69</v>
      </c>
      <c r="Y454" s="363">
        <f t="shared" si="447"/>
        <v>5978.2839999999997</v>
      </c>
      <c r="Z454" s="561">
        <f t="shared" si="447"/>
        <v>5978.2839999999997</v>
      </c>
      <c r="AA454" s="363">
        <f t="shared" si="447"/>
        <v>7166.1390000000001</v>
      </c>
      <c r="AB454" s="470">
        <f t="shared" si="447"/>
        <v>7126.9940000000006</v>
      </c>
      <c r="AC454" s="470">
        <f t="shared" si="447"/>
        <v>9584.4539999999997</v>
      </c>
      <c r="AD454" s="363">
        <f t="shared" si="447"/>
        <v>9418.2890000000007</v>
      </c>
      <c r="AE454" s="561">
        <f t="shared" si="447"/>
        <v>9418.2890000000007</v>
      </c>
      <c r="AF454" s="363">
        <f t="shared" si="447"/>
        <v>8763.6280000000006</v>
      </c>
      <c r="AG454" s="470">
        <f t="shared" si="447"/>
        <v>9513.2899999999991</v>
      </c>
      <c r="AH454" s="470">
        <f t="shared" si="447"/>
        <v>9672.5130000000008</v>
      </c>
      <c r="AI454" s="363">
        <f t="shared" si="447"/>
        <v>9403.6720000000005</v>
      </c>
      <c r="AJ454" s="561">
        <f t="shared" si="447"/>
        <v>9403.6720000000005</v>
      </c>
      <c r="AK454" s="363">
        <f t="shared" si="447"/>
        <v>9787.9500000000007</v>
      </c>
      <c r="AL454" s="470">
        <f t="shared" si="447"/>
        <v>11234.401</v>
      </c>
      <c r="AM454" s="470">
        <f t="shared" si="447"/>
        <v>11313</v>
      </c>
      <c r="AN454" s="363">
        <f t="shared" si="447"/>
        <v>11634</v>
      </c>
      <c r="AO454" s="561">
        <f t="shared" si="447"/>
        <v>11634</v>
      </c>
      <c r="AP454" s="363">
        <f t="shared" si="447"/>
        <v>10726</v>
      </c>
      <c r="AQ454" s="470">
        <f t="shared" si="447"/>
        <v>10460</v>
      </c>
      <c r="AR454" s="470">
        <f t="shared" si="447"/>
        <v>10607</v>
      </c>
      <c r="AS454" s="363">
        <f t="shared" si="447"/>
        <v>9607</v>
      </c>
      <c r="AT454" s="561">
        <f t="shared" si="447"/>
        <v>9607</v>
      </c>
      <c r="AU454" s="363">
        <f t="shared" ref="AU454" si="448">AU767+AU770+AU771+AU775</f>
        <v>9053</v>
      </c>
      <c r="AV454" s="470">
        <f>AV767+AV770+AV771+AV775</f>
        <v>7871</v>
      </c>
      <c r="AW454" s="805">
        <f>AW767+AW770+AW771+AW775</f>
        <v>6438</v>
      </c>
      <c r="AX454" s="562">
        <f>MAX(0,AW454+AX442)</f>
        <v>6438</v>
      </c>
      <c r="AY454" s="563">
        <f>AY767+AY770+AY771+AY775</f>
        <v>6438</v>
      </c>
      <c r="AZ454" s="562">
        <f>MAX(0,AY454+AZ442)</f>
        <v>6438</v>
      </c>
      <c r="BA454" s="562">
        <f>MAX(0,AZ454+BA442)</f>
        <v>6438</v>
      </c>
      <c r="BB454" s="562">
        <f>MAX(0,BA454+BB442)</f>
        <v>6438</v>
      </c>
      <c r="BC454" s="562">
        <f>MAX(0,BB454+BC442)</f>
        <v>6438</v>
      </c>
      <c r="BD454" s="563">
        <f>BD767+BD770+BD771+BD775</f>
        <v>6438</v>
      </c>
      <c r="BE454" s="563">
        <f>MAX(0,BD454+BE442)</f>
        <v>6438</v>
      </c>
      <c r="BF454" s="563">
        <f>MAX(0,BE454+BF442)</f>
        <v>6438</v>
      </c>
      <c r="BG454" s="563">
        <f>MAX(0,BF454+BG442)</f>
        <v>6438</v>
      </c>
      <c r="BH454" s="361"/>
    </row>
    <row r="455" spans="1:60" s="356" customFormat="1" x14ac:dyDescent="0.25">
      <c r="A455" s="361" t="s">
        <v>160</v>
      </c>
      <c r="B455" s="450"/>
      <c r="C455" s="35">
        <f t="shared" ref="C455:AT455" si="449">C757+C761+C767+C770+C771+C775+C762</f>
        <v>2.8239999999999998</v>
      </c>
      <c r="D455" s="35">
        <f t="shared" si="449"/>
        <v>72.603000000000009</v>
      </c>
      <c r="E455" s="35">
        <f t="shared" si="449"/>
        <v>280.14799999999997</v>
      </c>
      <c r="F455" s="35">
        <f t="shared" si="449"/>
        <v>466.666</v>
      </c>
      <c r="G455" s="361">
        <f t="shared" si="449"/>
        <v>455.53800000000001</v>
      </c>
      <c r="H455" s="361">
        <f t="shared" si="449"/>
        <v>593.68399999999997</v>
      </c>
      <c r="I455" s="361">
        <f t="shared" si="449"/>
        <v>676.90200000000004</v>
      </c>
      <c r="J455" s="361">
        <f t="shared" si="449"/>
        <v>606.87800000000004</v>
      </c>
      <c r="K455" s="35">
        <f t="shared" si="449"/>
        <v>606.87800000000004</v>
      </c>
      <c r="L455" s="361">
        <f t="shared" si="449"/>
        <v>2200.7530000000002</v>
      </c>
      <c r="M455" s="361">
        <f t="shared" si="449"/>
        <v>2450.6179999999999</v>
      </c>
      <c r="N455" s="361">
        <f t="shared" si="449"/>
        <v>2468.8200000000002</v>
      </c>
      <c r="O455" s="361">
        <f t="shared" si="449"/>
        <v>2488.08</v>
      </c>
      <c r="P455" s="35">
        <f t="shared" si="449"/>
        <v>2488.08</v>
      </c>
      <c r="Q455" s="361">
        <f t="shared" si="449"/>
        <v>2584.5460000000003</v>
      </c>
      <c r="R455" s="361">
        <f t="shared" si="449"/>
        <v>2687.8910000000001</v>
      </c>
      <c r="S455" s="361">
        <f t="shared" si="449"/>
        <v>2679.384</v>
      </c>
      <c r="T455" s="361">
        <f t="shared" si="449"/>
        <v>2715.5860000000002</v>
      </c>
      <c r="U455" s="35">
        <f t="shared" si="449"/>
        <v>2715.5860000000002</v>
      </c>
      <c r="V455" s="361">
        <f t="shared" si="449"/>
        <v>3162.2400000000002</v>
      </c>
      <c r="W455" s="36">
        <f t="shared" si="449"/>
        <v>3283.9740000000002</v>
      </c>
      <c r="X455" s="36">
        <f t="shared" si="449"/>
        <v>2715.4610000000002</v>
      </c>
      <c r="Y455" s="361">
        <f t="shared" si="449"/>
        <v>7128.4309999999996</v>
      </c>
      <c r="Z455" s="35">
        <f t="shared" si="449"/>
        <v>7128.4309999999996</v>
      </c>
      <c r="AA455" s="361">
        <f t="shared" si="449"/>
        <v>8169.45</v>
      </c>
      <c r="AB455" s="36">
        <f t="shared" si="449"/>
        <v>7943.527000000001</v>
      </c>
      <c r="AC455" s="36">
        <f t="shared" si="449"/>
        <v>10008.678</v>
      </c>
      <c r="AD455" s="361">
        <f t="shared" si="449"/>
        <v>10314.838</v>
      </c>
      <c r="AE455" s="35">
        <f t="shared" si="449"/>
        <v>10314.838</v>
      </c>
      <c r="AF455" s="361">
        <f t="shared" si="449"/>
        <v>10761.658000000001</v>
      </c>
      <c r="AG455" s="36">
        <f t="shared" si="449"/>
        <v>11616.474999999999</v>
      </c>
      <c r="AH455" s="36">
        <f t="shared" si="449"/>
        <v>11779.051000000001</v>
      </c>
      <c r="AI455" s="361">
        <f t="shared" si="449"/>
        <v>11971.371000000001</v>
      </c>
      <c r="AJ455" s="35">
        <f t="shared" si="449"/>
        <v>11971.371000000001</v>
      </c>
      <c r="AK455" s="361">
        <f t="shared" si="449"/>
        <v>11493.661</v>
      </c>
      <c r="AL455" s="36">
        <f t="shared" si="449"/>
        <v>13025.486000000001</v>
      </c>
      <c r="AM455" s="36">
        <f t="shared" si="449"/>
        <v>13343</v>
      </c>
      <c r="AN455" s="361">
        <f t="shared" si="449"/>
        <v>13419</v>
      </c>
      <c r="AO455" s="35">
        <f t="shared" si="449"/>
        <v>13419</v>
      </c>
      <c r="AP455" s="361">
        <f t="shared" si="449"/>
        <v>13943</v>
      </c>
      <c r="AQ455" s="36">
        <f t="shared" si="449"/>
        <v>14139</v>
      </c>
      <c r="AR455" s="36">
        <f t="shared" si="449"/>
        <v>13733</v>
      </c>
      <c r="AS455" s="361">
        <f t="shared" si="449"/>
        <v>11739</v>
      </c>
      <c r="AT455" s="35">
        <f t="shared" si="449"/>
        <v>11739</v>
      </c>
      <c r="AU455" s="361">
        <f t="shared" ref="AU455" si="450">AU757+AU761+AU767+AU770+AU771+AU775+AU762</f>
        <v>10872</v>
      </c>
      <c r="AV455" s="36">
        <f>AV757+AV761+AV767+AV770+AV771+AV775+AV762</f>
        <v>9401</v>
      </c>
      <c r="AW455" s="792">
        <f>AW757+AW761+AW767+AW770+AW771+AW775+AW762</f>
        <v>8154</v>
      </c>
      <c r="AX455" s="439">
        <f>AW455+AX442</f>
        <v>8154</v>
      </c>
      <c r="AY455" s="440">
        <f>AY757+AY761+AY767+AY770+AY771+AY775+AY762</f>
        <v>8154</v>
      </c>
      <c r="AZ455" s="439">
        <f>AY455+AZ442</f>
        <v>8154</v>
      </c>
      <c r="BA455" s="439">
        <f>AZ455+BA442</f>
        <v>8154</v>
      </c>
      <c r="BB455" s="439">
        <f>BA455+BB442</f>
        <v>8154</v>
      </c>
      <c r="BC455" s="439">
        <f>BB455+BC442</f>
        <v>8154</v>
      </c>
      <c r="BD455" s="440">
        <f>BD757+BD761+BD767+BD770+BD771+BD775+BD762</f>
        <v>8154</v>
      </c>
      <c r="BE455" s="440">
        <f>BD455+BE442</f>
        <v>8154</v>
      </c>
      <c r="BF455" s="440">
        <f>BE455+BF442</f>
        <v>8154</v>
      </c>
      <c r="BG455" s="440">
        <f>BF455+BG442</f>
        <v>8154</v>
      </c>
      <c r="BH455" s="361"/>
    </row>
    <row r="456" spans="1:60" s="356" customFormat="1" x14ac:dyDescent="0.25">
      <c r="A456" s="361" t="s">
        <v>161</v>
      </c>
      <c r="B456" s="450"/>
      <c r="C456" s="35">
        <f t="shared" ref="C456:AH456" si="451">C455-C452</f>
        <v>-66.802999999999997</v>
      </c>
      <c r="D456" s="35">
        <f t="shared" si="451"/>
        <v>-100.55199999999999</v>
      </c>
      <c r="E456" s="35">
        <f t="shared" si="451"/>
        <v>-23.65500000000003</v>
      </c>
      <c r="F456" s="35">
        <f t="shared" si="451"/>
        <v>245.68200000000002</v>
      </c>
      <c r="G456" s="361">
        <f t="shared" si="451"/>
        <v>224.40200000000002</v>
      </c>
      <c r="H456" s="361">
        <f t="shared" si="451"/>
        <v>-153.73500000000001</v>
      </c>
      <c r="I456" s="361">
        <f t="shared" si="451"/>
        <v>-119.47899999999993</v>
      </c>
      <c r="J456" s="361">
        <f t="shared" si="451"/>
        <v>-242.02299999999991</v>
      </c>
      <c r="K456" s="35">
        <f t="shared" si="451"/>
        <v>-242.02299999999991</v>
      </c>
      <c r="L456" s="361">
        <f t="shared" si="451"/>
        <v>-383.3149999999996</v>
      </c>
      <c r="M456" s="361">
        <f t="shared" si="451"/>
        <v>-236.00599999999986</v>
      </c>
      <c r="N456" s="361">
        <f t="shared" si="451"/>
        <v>80.753999999999905</v>
      </c>
      <c r="O456" s="361">
        <f t="shared" si="451"/>
        <v>564.42000000000007</v>
      </c>
      <c r="P456" s="35">
        <f t="shared" si="451"/>
        <v>564.42000000000007</v>
      </c>
      <c r="Q456" s="361">
        <f t="shared" si="451"/>
        <v>1053.7770000000003</v>
      </c>
      <c r="R456" s="361">
        <f t="shared" si="451"/>
        <v>1516.6270000000002</v>
      </c>
      <c r="S456" s="361">
        <f t="shared" si="451"/>
        <v>1228.125</v>
      </c>
      <c r="T456" s="361">
        <f t="shared" si="451"/>
        <v>1496.0500000000004</v>
      </c>
      <c r="U456" s="35">
        <f t="shared" si="451"/>
        <v>1496.0500000000004</v>
      </c>
      <c r="V456" s="361">
        <f t="shared" si="451"/>
        <v>1696.4710000000002</v>
      </c>
      <c r="W456" s="36">
        <f t="shared" si="451"/>
        <v>13.148000000000138</v>
      </c>
      <c r="X456" s="36">
        <f t="shared" si="451"/>
        <v>-392.50699999999961</v>
      </c>
      <c r="Y456" s="361">
        <f t="shared" si="451"/>
        <v>3629.6959999999999</v>
      </c>
      <c r="Z456" s="35">
        <f t="shared" si="451"/>
        <v>3629.6959999999999</v>
      </c>
      <c r="AA456" s="361">
        <f t="shared" si="451"/>
        <v>4073.9110000000001</v>
      </c>
      <c r="AB456" s="36">
        <f t="shared" si="451"/>
        <v>4789.2340000000004</v>
      </c>
      <c r="AC456" s="36">
        <f t="shared" si="451"/>
        <v>6340.4669999999996</v>
      </c>
      <c r="AD456" s="361">
        <f t="shared" si="451"/>
        <v>6791.6009999999997</v>
      </c>
      <c r="AE456" s="35">
        <f t="shared" si="451"/>
        <v>6791.6009999999997</v>
      </c>
      <c r="AF456" s="361">
        <f t="shared" si="451"/>
        <v>7975.7910000000011</v>
      </c>
      <c r="AG456" s="36">
        <f t="shared" si="451"/>
        <v>9233.2289999999994</v>
      </c>
      <c r="AH456" s="36">
        <f t="shared" si="451"/>
        <v>8652.9200000000019</v>
      </c>
      <c r="AI456" s="361">
        <f t="shared" ref="AI456:AY456" si="452">AI455-AI452</f>
        <v>8093.2020000000011</v>
      </c>
      <c r="AJ456" s="35">
        <f t="shared" si="452"/>
        <v>8093.2020000000011</v>
      </c>
      <c r="AK456" s="361">
        <f t="shared" si="452"/>
        <v>9164.5420000000013</v>
      </c>
      <c r="AL456" s="36">
        <f t="shared" si="452"/>
        <v>7942.7400000000007</v>
      </c>
      <c r="AM456" s="36">
        <f t="shared" si="452"/>
        <v>7772</v>
      </c>
      <c r="AN456" s="361">
        <f t="shared" si="452"/>
        <v>6905</v>
      </c>
      <c r="AO456" s="35">
        <f t="shared" si="452"/>
        <v>6905</v>
      </c>
      <c r="AP456" s="361">
        <f t="shared" si="452"/>
        <v>5670</v>
      </c>
      <c r="AQ456" s="36">
        <f t="shared" si="452"/>
        <v>5321</v>
      </c>
      <c r="AR456" s="36">
        <f>AR455-AR452</f>
        <v>-972</v>
      </c>
      <c r="AS456" s="361">
        <f>AS455-AS452</f>
        <v>-7883</v>
      </c>
      <c r="AT456" s="35">
        <f>AT455-AT452</f>
        <v>-7883</v>
      </c>
      <c r="AU456" s="361">
        <f t="shared" ref="AU456" si="453">AU455-AU452</f>
        <v>-6574</v>
      </c>
      <c r="AV456" s="36">
        <f>AV455-AV452</f>
        <v>-7154</v>
      </c>
      <c r="AW456" s="792">
        <f>AW455-AW452</f>
        <v>-8268</v>
      </c>
      <c r="AX456" s="439">
        <f t="shared" ca="1" si="452"/>
        <v>-9428.0705574896347</v>
      </c>
      <c r="AY456" s="440">
        <f t="shared" ca="1" si="452"/>
        <v>-9428.0705574896347</v>
      </c>
      <c r="AZ456" s="439">
        <f t="shared" ref="AZ456:BG456" ca="1" si="454">AZ455-AZ452</f>
        <v>-11741.031639973015</v>
      </c>
      <c r="BA456" s="439">
        <f t="shared" ca="1" si="454"/>
        <v>-14593.861954298995</v>
      </c>
      <c r="BB456" s="439">
        <f t="shared" ca="1" si="454"/>
        <v>-20257.823911835505</v>
      </c>
      <c r="BC456" s="439">
        <f t="shared" ca="1" si="454"/>
        <v>-23081.219126236723</v>
      </c>
      <c r="BD456" s="440">
        <f t="shared" ca="1" si="454"/>
        <v>-23081.219126236723</v>
      </c>
      <c r="BE456" s="440">
        <f t="shared" ca="1" si="454"/>
        <v>-35471.518503970656</v>
      </c>
      <c r="BF456" s="440">
        <f t="shared" ca="1" si="454"/>
        <v>-52050.834588945974</v>
      </c>
      <c r="BG456" s="440">
        <f t="shared" ca="1" si="454"/>
        <v>-73542.80515424606</v>
      </c>
      <c r="BH456" s="361"/>
    </row>
    <row r="457" spans="1:60" s="356" customFormat="1" x14ac:dyDescent="0.25">
      <c r="A457" s="439"/>
      <c r="B457" s="450"/>
      <c r="C457" s="440"/>
      <c r="D457" s="440"/>
      <c r="E457" s="440"/>
      <c r="F457" s="440"/>
      <c r="G457" s="439"/>
      <c r="H457" s="439"/>
      <c r="I457" s="439"/>
      <c r="J457" s="439"/>
      <c r="K457" s="440"/>
      <c r="L457" s="439"/>
      <c r="M457" s="439"/>
      <c r="N457" s="439"/>
      <c r="O457" s="439"/>
      <c r="P457" s="440"/>
      <c r="Q457" s="439"/>
      <c r="R457" s="439"/>
      <c r="S457" s="439"/>
      <c r="T457" s="439"/>
      <c r="U457" s="440"/>
      <c r="V457" s="439"/>
      <c r="W457" s="439"/>
      <c r="X457" s="439"/>
      <c r="Y457" s="439"/>
      <c r="Z457" s="440"/>
      <c r="AA457" s="439"/>
      <c r="AB457" s="439"/>
      <c r="AC457" s="439"/>
      <c r="AD457" s="439"/>
      <c r="AE457" s="440"/>
      <c r="AF457" s="439"/>
      <c r="AG457" s="439"/>
      <c r="AH457" s="439"/>
      <c r="AI457" s="439"/>
      <c r="AJ457" s="440"/>
      <c r="AK457" s="439"/>
      <c r="AL457" s="439"/>
      <c r="AM457" s="439"/>
      <c r="AN457" s="439"/>
      <c r="AO457" s="440"/>
      <c r="AP457" s="439"/>
      <c r="AQ457" s="439"/>
      <c r="AR457" s="439"/>
      <c r="AS457" s="439"/>
      <c r="AT457" s="440"/>
      <c r="AU457" s="439"/>
      <c r="AV457" s="439"/>
      <c r="AW457" s="726"/>
      <c r="AX457" s="439"/>
      <c r="AY457" s="440"/>
      <c r="AZ457" s="439"/>
      <c r="BA457" s="439"/>
      <c r="BB457" s="439"/>
      <c r="BC457" s="439"/>
      <c r="BD457" s="440"/>
      <c r="BE457" s="440"/>
      <c r="BF457" s="440"/>
      <c r="BG457" s="440"/>
      <c r="BH457" s="361"/>
    </row>
    <row r="458" spans="1:60" s="356" customFormat="1" x14ac:dyDescent="0.25">
      <c r="A458" s="361" t="s">
        <v>499</v>
      </c>
      <c r="B458" s="450"/>
      <c r="C458" s="555">
        <f t="shared" ref="C458:AQ458" si="455">C400</f>
        <v>2.5310000000000001</v>
      </c>
      <c r="D458" s="555">
        <f t="shared" si="455"/>
        <v>0.99199999999999999</v>
      </c>
      <c r="E458" s="555">
        <f t="shared" si="455"/>
        <v>4.2999999999999997E-2</v>
      </c>
      <c r="F458" s="555">
        <f t="shared" si="455"/>
        <v>0.254</v>
      </c>
      <c r="G458" s="556">
        <f t="shared" si="455"/>
        <v>0.11799999999999999</v>
      </c>
      <c r="H458" s="556">
        <f t="shared" si="455"/>
        <v>20.116</v>
      </c>
      <c r="I458" s="556">
        <f t="shared" si="455"/>
        <v>6.492</v>
      </c>
      <c r="J458" s="556">
        <f t="shared" si="455"/>
        <v>6.2079999999999966</v>
      </c>
      <c r="K458" s="555">
        <f t="shared" si="455"/>
        <v>32.933999999999997</v>
      </c>
      <c r="L458" s="556">
        <f t="shared" si="455"/>
        <v>11.882999999999999</v>
      </c>
      <c r="M458" s="556">
        <f t="shared" si="455"/>
        <v>31.238</v>
      </c>
      <c r="N458" s="556">
        <f t="shared" si="455"/>
        <v>29.062000000000001</v>
      </c>
      <c r="O458" s="556">
        <f t="shared" si="455"/>
        <v>28.702999999999999</v>
      </c>
      <c r="P458" s="555">
        <f t="shared" si="455"/>
        <v>100.886</v>
      </c>
      <c r="Q458" s="556">
        <f t="shared" si="455"/>
        <v>26.574000000000002</v>
      </c>
      <c r="R458" s="556">
        <f t="shared" si="455"/>
        <v>24.352</v>
      </c>
      <c r="S458" s="556">
        <f t="shared" si="455"/>
        <v>29.308</v>
      </c>
      <c r="T458" s="556">
        <f t="shared" si="455"/>
        <v>38.616999999999997</v>
      </c>
      <c r="U458" s="555">
        <f t="shared" si="455"/>
        <v>118.851</v>
      </c>
      <c r="V458" s="556">
        <f t="shared" si="455"/>
        <v>40.625</v>
      </c>
      <c r="W458" s="557">
        <f t="shared" si="455"/>
        <v>46.368000000000002</v>
      </c>
      <c r="X458" s="557">
        <f t="shared" si="455"/>
        <v>46.713000000000001</v>
      </c>
      <c r="Y458" s="556">
        <f t="shared" si="455"/>
        <v>65.103999999999999</v>
      </c>
      <c r="Z458" s="555">
        <f t="shared" si="455"/>
        <v>198.81</v>
      </c>
      <c r="AA458" s="556">
        <f t="shared" si="455"/>
        <v>99.346000000000004</v>
      </c>
      <c r="AB458" s="557">
        <f t="shared" si="455"/>
        <v>108.441</v>
      </c>
      <c r="AC458" s="557">
        <f t="shared" si="455"/>
        <v>117.10899999999999</v>
      </c>
      <c r="AD458" s="556">
        <f t="shared" si="455"/>
        <v>146.363</v>
      </c>
      <c r="AE458" s="555">
        <f t="shared" si="455"/>
        <v>471.25900000000001</v>
      </c>
      <c r="AF458" s="556">
        <f t="shared" si="455"/>
        <v>149.54599999999999</v>
      </c>
      <c r="AG458" s="557">
        <f t="shared" si="455"/>
        <v>163.58199999999999</v>
      </c>
      <c r="AH458" s="557">
        <f t="shared" si="455"/>
        <v>175.22</v>
      </c>
      <c r="AI458" s="556">
        <f t="shared" si="455"/>
        <v>174.72300000000007</v>
      </c>
      <c r="AJ458" s="555">
        <f t="shared" si="455"/>
        <v>663.07100000000003</v>
      </c>
      <c r="AK458" s="556">
        <f t="shared" si="455"/>
        <v>157.453</v>
      </c>
      <c r="AL458" s="557">
        <f t="shared" si="455"/>
        <v>171.97900000000001</v>
      </c>
      <c r="AM458" s="557">
        <f t="shared" si="455"/>
        <v>185</v>
      </c>
      <c r="AN458" s="556">
        <f t="shared" si="455"/>
        <v>170.56799999999998</v>
      </c>
      <c r="AO458" s="555">
        <f t="shared" si="455"/>
        <v>685</v>
      </c>
      <c r="AP458" s="556">
        <f t="shared" si="455"/>
        <v>169</v>
      </c>
      <c r="AQ458" s="557">
        <f t="shared" si="455"/>
        <v>170</v>
      </c>
      <c r="AR458" s="557">
        <f>AR400</f>
        <v>163</v>
      </c>
      <c r="AS458" s="556">
        <f>AS400</f>
        <v>246</v>
      </c>
      <c r="AT458" s="555">
        <f>AT400</f>
        <v>748</v>
      </c>
      <c r="AU458" s="556">
        <f t="shared" ref="AU458" si="456">AU400</f>
        <v>99</v>
      </c>
      <c r="AV458" s="557">
        <f>AV400</f>
        <v>75</v>
      </c>
      <c r="AW458" s="806">
        <f>AW400</f>
        <v>126</v>
      </c>
      <c r="AX458" s="558">
        <f>MAX(0,AX459*AVERAGE(AW455,AX455)*AX3/AY3)</f>
        <v>61.65764383561644</v>
      </c>
      <c r="AY458" s="559">
        <f>IF(OR(ISBLANK(AU458),ISBLANK(AV458),ISBLANK(AW458),ISBLANK(AX458)),"n/a",SUM(AU458,AV458,AW458,AX458))</f>
        <v>361.65764383561645</v>
      </c>
      <c r="AZ458" s="558">
        <f>MAX(0,AZ459*AVERAGE(AY455,AZ455)*AZ3/BD3)</f>
        <v>60.3172602739726</v>
      </c>
      <c r="BA458" s="558">
        <f>MAX(0,BA459*AVERAGE(AZ455,BA455)*BA3/BD3)</f>
        <v>60.987452054794524</v>
      </c>
      <c r="BB458" s="558">
        <f>MAX(0,BB459*AVERAGE(BA455,BB455)*BB3/BD3)</f>
        <v>61.65764383561644</v>
      </c>
      <c r="BC458" s="558">
        <f>MAX(0,BC459*AVERAGE(BB455,BC455)*BC3/BD3)</f>
        <v>61.65764383561644</v>
      </c>
      <c r="BD458" s="559">
        <f>IF(OR(ISBLANK(AZ458),ISBLANK(BA458),ISBLANK(BB458),ISBLANK(BC458)),"n/a",SUM(AZ458,BA458,BB458,BC458))</f>
        <v>244.62</v>
      </c>
      <c r="BE458" s="559">
        <f>MAX(0,BE459*AVERAGE(BD455,BE455))</f>
        <v>244.61999999999998</v>
      </c>
      <c r="BF458" s="559">
        <f>MAX(0,BF459*AVERAGE(BE455,BF455))</f>
        <v>244.61999999999998</v>
      </c>
      <c r="BG458" s="559">
        <f>MAX(0,BG459*AVERAGE(BF455,BG455))</f>
        <v>244.61999999999998</v>
      </c>
      <c r="BH458" s="361"/>
    </row>
    <row r="459" spans="1:60" s="356" customFormat="1" x14ac:dyDescent="0.25">
      <c r="A459" s="368" t="s">
        <v>500</v>
      </c>
      <c r="B459" s="531"/>
      <c r="C459" s="186"/>
      <c r="D459" s="169">
        <f>IFERROR(D458/AVERAGE(C455,D455),"n/a")</f>
        <v>2.6303578294244765E-2</v>
      </c>
      <c r="E459" s="169">
        <f>IFERROR(E458/AVERAGE(D455,E455),"n/a")</f>
        <v>2.4379803317354167E-4</v>
      </c>
      <c r="F459" s="169">
        <f>IFERROR(F458/AVERAGE(E455,F455),"n/a")</f>
        <v>6.8022292029876251E-4</v>
      </c>
      <c r="G459" s="163">
        <f>IFERROR(G458/AVERAGE(F455,G455)*K3/G3,"n/a")</f>
        <v>1.0378518322530709E-3</v>
      </c>
      <c r="H459" s="163">
        <f>IFERROR(H458/AVERAGE(G455,H455)*K3/H3,"n/a")</f>
        <v>0.15379977725410818</v>
      </c>
      <c r="I459" s="163">
        <f>IFERROR(I458/AVERAGE(H455,I455)*K3/I3,"n/a")</f>
        <v>4.054240224247093E-2</v>
      </c>
      <c r="J459" s="163">
        <f>IFERROR(J458/AVERAGE(I455,J455)*K3/J3,"n/a")</f>
        <v>3.8370383114538768E-2</v>
      </c>
      <c r="K459" s="169">
        <f>IFERROR(K458/AVERAGE(G455,H455,I455,J455),"n/a")</f>
        <v>5.6466303929443691E-2</v>
      </c>
      <c r="L459" s="163">
        <f>IFERROR(L458/AVERAGE(K455,L455)*P3/L3,"n/a")</f>
        <v>3.43294162706329E-2</v>
      </c>
      <c r="M459" s="163">
        <f>IFERROR(M458/AVERAGE(L455,M455)*P3/M3,"n/a")</f>
        <v>5.3874556437349223E-2</v>
      </c>
      <c r="N459" s="163">
        <f>IFERROR(N458/AVERAGE(M455,N455)*P3/N3,"n/a")</f>
        <v>4.6875405721936741E-2</v>
      </c>
      <c r="O459" s="163">
        <f>IFERROR(O458/AVERAGE(N455,O455)*P3/O3,"n/a")</f>
        <v>4.5946471628919558E-2</v>
      </c>
      <c r="P459" s="169">
        <f>IFERROR(P458/AVERAGE(L455,M455,N455,O455),"n/a")</f>
        <v>4.1999648011593338E-2</v>
      </c>
      <c r="Q459" s="163">
        <f>IFERROR(Q458/AVERAGE(P455,Q455)*U3/Q3,"n/a")</f>
        <v>4.2491732421563642E-2</v>
      </c>
      <c r="R459" s="163">
        <f>IFERROR(R458/AVERAGE(Q455,R455)*U3/R3,"n/a")</f>
        <v>3.7051406928372742E-2</v>
      </c>
      <c r="S459" s="163">
        <f>IFERROR(S458/AVERAGE(R455,S455)*U3/S3,"n/a")</f>
        <v>4.3327872839690938E-2</v>
      </c>
      <c r="T459" s="163">
        <f>IFERROR(T458/AVERAGE(S455,T455)*U3/T3,"n/a")</f>
        <v>5.679688672967597E-2</v>
      </c>
      <c r="U459" s="169">
        <f>IFERROR(U458/AVERAGE(Q455,R455,S455,T455),"n/a")</f>
        <v>4.4566031838852688E-2</v>
      </c>
      <c r="V459" s="163">
        <f>IFERROR(V458/AVERAGE(U455,V455)*Z3/V3,"n/a")</f>
        <v>5.5596357273201724E-2</v>
      </c>
      <c r="W459" s="156">
        <f>IFERROR(W458/AVERAGE(V455,W455)*Z3/W3,"n/a")</f>
        <v>5.7860653376719084E-2</v>
      </c>
      <c r="X459" s="156">
        <f>IFERROR(X458/AVERAGE(W455,X455)*Z3/X3,"n/a")</f>
        <v>6.1951333750594847E-2</v>
      </c>
      <c r="Y459" s="163">
        <f>IFERROR(Y458/AVERAGE(X455,Y455)*Z3/Y3,"n/a")</f>
        <v>5.2621604473550479E-2</v>
      </c>
      <c r="Z459" s="169">
        <f>IFERROR(Z458/AVERAGE(V455,W455,X455,Y455),"n/a")</f>
        <v>4.88173619005303E-2</v>
      </c>
      <c r="AA459" s="163">
        <f>IFERROR(AA458/AVERAGE(Z455,AA455)*AE3/AA3,"n/a")</f>
        <v>5.2674383102107043E-2</v>
      </c>
      <c r="AB459" s="156">
        <f>IFERROR(AB458/AVERAGE(AA455,AB455)*AE3/AB3,"n/a")</f>
        <v>5.3988243059077075E-2</v>
      </c>
      <c r="AC459" s="156">
        <f>IFERROR(AC458/AVERAGE(AB455,AC455)*AE3/AC3,"n/a")</f>
        <v>5.1761577840813373E-2</v>
      </c>
      <c r="AD459" s="163">
        <f>IFERROR(AD458/AVERAGE(AC455,AD455)*AE3/AD3,"n/a")</f>
        <v>5.7143586127347344E-2</v>
      </c>
      <c r="AE459" s="169">
        <f>IFERROR(AE458/AVERAGE(AA455,AB455,AC455,AD455),"n/a")</f>
        <v>5.1734836280758416E-2</v>
      </c>
      <c r="AF459" s="163">
        <f>IFERROR(AF458/AVERAGE(AE455,AF455)*AJ3/AF3,"n/a")</f>
        <v>5.75515124630879E-2</v>
      </c>
      <c r="AG459" s="156">
        <f>IFERROR(AG458/AVERAGE(AF455,AG455)*AJ3/AG3,"n/a")</f>
        <v>5.8639887822241853E-2</v>
      </c>
      <c r="AH459" s="156">
        <f>IFERROR(AH458/AVERAGE(AG455,AH455)*AJ3/AH3,"n/a")</f>
        <v>5.9427285742395891E-2</v>
      </c>
      <c r="AI459" s="163">
        <f>IFERROR(AI458/AVERAGE(AH455,AI455)*AJ3/AI3,"n/a")</f>
        <v>5.8373237399282039E-2</v>
      </c>
      <c r="AJ459" s="169">
        <f>IFERROR(AJ458/AVERAGE(AF455,AG455,AH455,AI455),"n/a")</f>
        <v>5.7497660613908243E-2</v>
      </c>
      <c r="AK459" s="163">
        <f>IFERROR(AK458/AVERAGE(AJ455,AK455)*AO3/AK3,"n/a")</f>
        <v>5.4426466487570851E-2</v>
      </c>
      <c r="AL459" s="156">
        <f>IFERROR(AL458/AVERAGE(AK455,AL455)*AO3/AL3,"n/a")</f>
        <v>5.6266711001070231E-2</v>
      </c>
      <c r="AM459" s="156">
        <f>IFERROR(AM458/AVERAGE(AL455,AM455)*AO3/AM3,"n/a")</f>
        <v>5.5670044256947306E-2</v>
      </c>
      <c r="AN459" s="163">
        <f>IFERROR(AN458/AVERAGE(AM455,AN455)*AO3/AN3,"n/a")</f>
        <v>5.0572453478813235E-2</v>
      </c>
      <c r="AO459" s="169">
        <f>IFERROR(AO458/AVERAGE(AK455,AL455,AM455,AN455),"n/a")</f>
        <v>5.3430942174518839E-2</v>
      </c>
      <c r="AP459" s="163">
        <f>IFERROR(AP458/AVERAGE(AO455,AP455)*AT3/AP3,"n/a")</f>
        <v>4.9683084987521803E-2</v>
      </c>
      <c r="AQ459" s="156">
        <f>IFERROR(AQ458/AVERAGE(AP455,AQ455)*AT3/AQ3,"n/a")</f>
        <v>4.8695695729382787E-2</v>
      </c>
      <c r="AR459" s="156">
        <f>IFERROR(AR458/AVERAGE(AQ455,AR455)*AT3/AR3,"n/a")</f>
        <v>4.65310362901213E-2</v>
      </c>
      <c r="AS459" s="163">
        <f>IFERROR(AS458/AVERAGE(AR455,AS455)*AT3/AS3,"n/a")</f>
        <v>7.6841408127594504E-2</v>
      </c>
      <c r="AT459" s="169">
        <f>IFERROR(AT458/AVERAGE(AP455,AQ455,AR455,AS455),"n/a")</f>
        <v>5.5868842663479849E-2</v>
      </c>
      <c r="AU459" s="163">
        <f>IFERROR(AU458/AVERAGE(AT455,AU455)*AY3/AU3,"n/a")</f>
        <v>3.5513688027951004E-2</v>
      </c>
      <c r="AV459" s="156">
        <f>IFERROR(AV458/AVERAGE(AU455,AV455)*AY3/AV3,"n/a")</f>
        <v>2.967732213527113E-2</v>
      </c>
      <c r="AW459" s="800">
        <f>IFERROR(AW458/AVERAGE(AV455,AW455)*AY3/AW3,"n/a")</f>
        <v>5.6951444528376659E-2</v>
      </c>
      <c r="AX459" s="157">
        <v>0.03</v>
      </c>
      <c r="AY459" s="186">
        <f>IFERROR(AY458/AVERAGE(AU455,AV455,AW455,AX455),"n/a")</f>
        <v>3.9545954876642676E-2</v>
      </c>
      <c r="AZ459" s="157">
        <v>0.03</v>
      </c>
      <c r="BA459" s="157">
        <v>0.03</v>
      </c>
      <c r="BB459" s="157">
        <v>0.03</v>
      </c>
      <c r="BC459" s="157">
        <v>0.03</v>
      </c>
      <c r="BD459" s="186">
        <f>IFERROR(BD458/AVERAGE(AZ455,BA455,BB455,BC455),"n/a")</f>
        <v>0.03</v>
      </c>
      <c r="BE459" s="1017">
        <v>2.9999999999999995E-2</v>
      </c>
      <c r="BF459" s="1017">
        <v>2.9999999999999995E-2</v>
      </c>
      <c r="BG459" s="1017">
        <v>2.9999999999999995E-2</v>
      </c>
      <c r="BH459" s="361"/>
    </row>
    <row r="460" spans="1:60" s="356" customFormat="1" x14ac:dyDescent="0.25">
      <c r="A460" s="439" t="s">
        <v>501</v>
      </c>
      <c r="B460" s="450"/>
      <c r="C460" s="559">
        <f t="shared" ref="C460:AQ460" si="457">-C401</f>
        <v>0.159</v>
      </c>
      <c r="D460" s="559">
        <f t="shared" si="457"/>
        <v>0.25800000000000001</v>
      </c>
      <c r="E460" s="559">
        <f t="shared" si="457"/>
        <v>0.255</v>
      </c>
      <c r="F460" s="559">
        <f t="shared" si="457"/>
        <v>0.28799999999999998</v>
      </c>
      <c r="G460" s="558">
        <f t="shared" si="457"/>
        <v>0.01</v>
      </c>
      <c r="H460" s="558">
        <f t="shared" si="457"/>
        <v>3.9E-2</v>
      </c>
      <c r="I460" s="558">
        <f t="shared" si="457"/>
        <v>6.8000000000000005E-2</v>
      </c>
      <c r="J460" s="558">
        <f t="shared" si="457"/>
        <v>7.1999999999999995E-2</v>
      </c>
      <c r="K460" s="559">
        <f t="shared" si="457"/>
        <v>0.189</v>
      </c>
      <c r="L460" s="558">
        <f t="shared" si="457"/>
        <v>0.14099999999999999</v>
      </c>
      <c r="M460" s="558">
        <f t="shared" si="457"/>
        <v>0.46700000000000003</v>
      </c>
      <c r="N460" s="558">
        <f t="shared" si="457"/>
        <v>0.3</v>
      </c>
      <c r="O460" s="558">
        <f t="shared" si="457"/>
        <v>0.219</v>
      </c>
      <c r="P460" s="559">
        <f t="shared" si="457"/>
        <v>1.1259999999999999</v>
      </c>
      <c r="Q460" s="558">
        <f t="shared" si="457"/>
        <v>0.184</v>
      </c>
      <c r="R460" s="558">
        <f t="shared" si="457"/>
        <v>0.247</v>
      </c>
      <c r="S460" s="558">
        <f t="shared" si="457"/>
        <v>0.32700000000000001</v>
      </c>
      <c r="T460" s="558">
        <f t="shared" si="457"/>
        <v>0.75</v>
      </c>
      <c r="U460" s="559">
        <f t="shared" si="457"/>
        <v>1.508</v>
      </c>
      <c r="V460" s="558">
        <f t="shared" si="457"/>
        <v>1.2509999999999999</v>
      </c>
      <c r="W460" s="558">
        <f t="shared" si="457"/>
        <v>2.242</v>
      </c>
      <c r="X460" s="558">
        <f t="shared" si="457"/>
        <v>2.8580000000000001</v>
      </c>
      <c r="Y460" s="558">
        <f t="shared" si="457"/>
        <v>2.1789999999999998</v>
      </c>
      <c r="Z460" s="559">
        <f t="shared" si="457"/>
        <v>8.5299999999999994</v>
      </c>
      <c r="AA460" s="558">
        <f t="shared" si="457"/>
        <v>3.09</v>
      </c>
      <c r="AB460" s="558">
        <f t="shared" si="457"/>
        <v>4.7850000000000001</v>
      </c>
      <c r="AC460" s="558">
        <f t="shared" si="457"/>
        <v>5.5309999999999997</v>
      </c>
      <c r="AD460" s="558">
        <f t="shared" si="457"/>
        <v>6.28</v>
      </c>
      <c r="AE460" s="559">
        <f t="shared" si="457"/>
        <v>19.686</v>
      </c>
      <c r="AF460" s="558">
        <f t="shared" si="457"/>
        <v>5.2140000000000004</v>
      </c>
      <c r="AG460" s="558">
        <f t="shared" si="457"/>
        <v>5.0640000000000001</v>
      </c>
      <c r="AH460" s="558">
        <f t="shared" si="457"/>
        <v>6.907</v>
      </c>
      <c r="AI460" s="558">
        <f t="shared" si="457"/>
        <v>7.347999999999999</v>
      </c>
      <c r="AJ460" s="559">
        <f t="shared" si="457"/>
        <v>24.533000000000001</v>
      </c>
      <c r="AK460" s="558">
        <f t="shared" si="457"/>
        <v>8.7620000000000005</v>
      </c>
      <c r="AL460" s="558">
        <f t="shared" si="457"/>
        <v>10.362</v>
      </c>
      <c r="AM460" s="558">
        <f t="shared" si="457"/>
        <v>15</v>
      </c>
      <c r="AN460" s="558">
        <f t="shared" si="457"/>
        <v>9.8759999999999977</v>
      </c>
      <c r="AO460" s="559">
        <f t="shared" si="457"/>
        <v>44</v>
      </c>
      <c r="AP460" s="558">
        <f t="shared" si="457"/>
        <v>10</v>
      </c>
      <c r="AQ460" s="558">
        <f t="shared" si="457"/>
        <v>8</v>
      </c>
      <c r="AR460" s="558">
        <f>-AR401</f>
        <v>6</v>
      </c>
      <c r="AS460" s="558">
        <f>-AS401</f>
        <v>6</v>
      </c>
      <c r="AT460" s="559">
        <f>-AT401</f>
        <v>30</v>
      </c>
      <c r="AU460" s="558">
        <f t="shared" ref="AU460" si="458">-AU401</f>
        <v>10</v>
      </c>
      <c r="AV460" s="558">
        <f>-AV401</f>
        <v>11</v>
      </c>
      <c r="AW460" s="740">
        <f>-AW401</f>
        <v>10</v>
      </c>
      <c r="AX460" s="558">
        <f>MAX(0,AX461*AW452*AX3/AY3)</f>
        <v>8.2784876712328774</v>
      </c>
      <c r="AY460" s="559">
        <f>IF(OR(ISBLANK(AU460),ISBLANK(AV460),ISBLANK(AW460),ISBLANK(AX460)),"n/a",SUM(AU460,AV460,AW460,AX460))</f>
        <v>39.278487671232881</v>
      </c>
      <c r="AZ460" s="558">
        <f ca="1">MAX(0,AZ461*AY452*AZ3/BD3)</f>
        <v>8.6706101379400948</v>
      </c>
      <c r="BA460" s="558">
        <f ca="1">MAX(0,BA461*AZ452*BA3/BD3)</f>
        <v>9.920262351986544</v>
      </c>
      <c r="BB460" s="558">
        <f ca="1">MAX(0,BB461*BA452*BB3/BD3)</f>
        <v>11.467415341345246</v>
      </c>
      <c r="BC460" s="558">
        <f ca="1">MAX(0,BC461*BB452*BC3/BD3)</f>
        <v>14.322672876103379</v>
      </c>
      <c r="BD460" s="559">
        <f ca="1">IF(OR(ISBLANK(AZ460),ISBLANK(BA460),ISBLANK(BB460),ISBLANK(BC460)),"n/a",SUM(AZ460,BA460,BB460,BC460))</f>
        <v>44.380960707375266</v>
      </c>
      <c r="BE460" s="559">
        <f ca="1">MAX(0,BE461*BD452)</f>
        <v>57.754376403223517</v>
      </c>
      <c r="BF460" s="559">
        <f ca="1">MAX(0,BF461*BE452)</f>
        <v>80.664220932189608</v>
      </c>
      <c r="BG460" s="559">
        <f ca="1">MAX(0,BG461*BF452)</f>
        <v>111.31961853992996</v>
      </c>
      <c r="BH460" s="361"/>
    </row>
    <row r="461" spans="1:60" s="356" customFormat="1" x14ac:dyDescent="0.25">
      <c r="A461" s="437" t="s">
        <v>502</v>
      </c>
      <c r="B461" s="531"/>
      <c r="C461" s="186"/>
      <c r="D461" s="186">
        <f>IFERROR(D460/AVERAGE(C452,D452),"n/a")</f>
        <v>2.1253634948225158E-3</v>
      </c>
      <c r="E461" s="186">
        <f>IFERROR(E460/AVERAGE(D452,E452),"n/a")</f>
        <v>1.0692765400727108E-3</v>
      </c>
      <c r="F461" s="186">
        <f>IFERROR(F460/AVERAGE(E452,F452),"n/a")</f>
        <v>1.097588164340961E-3</v>
      </c>
      <c r="G461" s="185">
        <f>IFERROR(G460/AVERAGE(F452,G452)*K3/G3,"n/a")</f>
        <v>1.7940173208685995E-4</v>
      </c>
      <c r="H461" s="185">
        <f>IFERROR(H460/AVERAGE(G452,H452)*K3/H3,"n/a")</f>
        <v>3.1971339664826491E-4</v>
      </c>
      <c r="I461" s="185">
        <f>IFERROR(I460/AVERAGE(H452,I452)*K3/I3,"n/a")</f>
        <v>3.4950461030658396E-4</v>
      </c>
      <c r="J461" s="185">
        <f>IFERROR(J460/AVERAGE(I452,J452)*K3/J3,"n/a")</f>
        <v>3.4723794937651227E-4</v>
      </c>
      <c r="K461" s="186">
        <f>IFERROR(K460/AVERAGE(G452,H452,I452,J452),"n/a")</f>
        <v>2.8812765427120666E-4</v>
      </c>
      <c r="L461" s="185">
        <f>IFERROR(L460/AVERAGE(K452,L452)*P3/L3,"n/a")</f>
        <v>3.3314214799686994E-4</v>
      </c>
      <c r="M461" s="185">
        <f>IFERROR(M460/AVERAGE(L452,M452)*P3/M3,"n/a")</f>
        <v>7.1077265305271816E-4</v>
      </c>
      <c r="N461" s="185">
        <f>IFERROR(N460/AVERAGE(M452,N452)*P3/N3,"n/a")</f>
        <v>4.6907984184426938E-4</v>
      </c>
      <c r="O461" s="185">
        <f>IFERROR(O460/AVERAGE(N452,O452)*P3/O3,"n/a")</f>
        <v>4.030212938633734E-4</v>
      </c>
      <c r="P461" s="186">
        <f>IFERROR(P460/AVERAGE(L452,M452,N452,O452),"n/a")</f>
        <v>4.7002750245292993E-4</v>
      </c>
      <c r="Q461" s="185">
        <f>IFERROR(Q460/AVERAGE(P452,Q452)*U3/Q3,"n/a")</f>
        <v>4.32037956039752E-4</v>
      </c>
      <c r="R461" s="185">
        <f>IFERROR(R460/AVERAGE(Q452,R452)*U3/R3,"n/a")</f>
        <v>7.3331027838245189E-4</v>
      </c>
      <c r="S461" s="185">
        <f>IFERROR(S460/AVERAGE(R452,S452)*U3/S3,"n/a")</f>
        <v>9.8938080354051363E-4</v>
      </c>
      <c r="T461" s="185">
        <f>IFERROR(T460/AVERAGE(S452,T452)*U3/T3,"n/a")</f>
        <v>2.2282080640864382E-3</v>
      </c>
      <c r="U461" s="186">
        <f>IFERROR(U460/AVERAGE(Q452,R452,S452,T452),"n/a")</f>
        <v>1.122686227811499E-3</v>
      </c>
      <c r="V461" s="185">
        <f>IFERROR(V460/AVERAGE(U452,V452)*Z3/V3,"n/a")</f>
        <v>3.7474286946879449E-3</v>
      </c>
      <c r="W461" s="185">
        <f>IFERROR(W460/AVERAGE(V452,W452)*Z3/W3,"n/a")</f>
        <v>3.807492397080487E-3</v>
      </c>
      <c r="X461" s="185">
        <f>IFERROR(X460/AVERAGE(W452,X452)*Z3/X3,"n/a")</f>
        <v>3.5648963002151792E-3</v>
      </c>
      <c r="Y461" s="185">
        <f>IFERROR(Y460/AVERAGE(X452,Y452)*Z3/Y3,"n/a")</f>
        <v>2.6241925616400821E-3</v>
      </c>
      <c r="Z461" s="186">
        <f>IFERROR(Z460/AVERAGE(V452,W452,X452,Y452),"n/a")</f>
        <v>3.0079435451664939E-3</v>
      </c>
      <c r="AA461" s="185">
        <f>IFERROR(AA460/AVERAGE(Z452,AA452)*AE3/AA3,"n/a")</f>
        <v>3.3002935281678451E-3</v>
      </c>
      <c r="AB461" s="185">
        <f>IFERROR(AB460/AVERAGE(AA452,AB452)*AE3/AB3,"n/a")</f>
        <v>5.2946281838206505E-3</v>
      </c>
      <c r="AC461" s="185">
        <f>IFERROR(AC460/AVERAGE(AB452,AC452)*AE3/AC3,"n/a")</f>
        <v>6.4327236171199962E-3</v>
      </c>
      <c r="AD461" s="185">
        <f>IFERROR(AD460/AVERAGE(AC452,AD452)*AE3/AD3,"n/a")</f>
        <v>6.9291239792888294E-3</v>
      </c>
      <c r="AE461" s="186">
        <f>IFERROR(AE460/AVERAGE(AA452,AB452,AC452,AD452),"n/a")</f>
        <v>5.4527022535398517E-3</v>
      </c>
      <c r="AF461" s="185">
        <f>IFERROR(AF460/AVERAGE(AE452,AF452)*AJ3/AF3,"n/a")</f>
        <v>6.7032233631484509E-3</v>
      </c>
      <c r="AG461" s="185">
        <f>IFERROR(AG460/AVERAGE(AF452,AG452)*AJ3/AG3,"n/a")</f>
        <v>7.8588525155663478E-3</v>
      </c>
      <c r="AH461" s="185">
        <f>IFERROR(AH460/AVERAGE(AG452,AH452)*AJ3/AH3,"n/a")</f>
        <v>9.9476843712566522E-3</v>
      </c>
      <c r="AI461" s="185">
        <f>IFERROR(AI460/AVERAGE(AH452,AI452)*AJ3/AI3,"n/a")</f>
        <v>8.324141257327021E-3</v>
      </c>
      <c r="AJ461" s="186">
        <f>IFERROR(AJ460/AVERAGE(AF452,AG452,AH452,AI452),"n/a")</f>
        <v>8.0611739698636699E-3</v>
      </c>
      <c r="AK461" s="185">
        <f>IFERROR(AK460/AVERAGE(AJ452,AK452)*AO3/AK3,"n/a")</f>
        <v>1.1449372987938623E-2</v>
      </c>
      <c r="AL461" s="185">
        <f>IFERROR(AL460/AVERAGE(AK452,AL452)*AO3/AL3,"n/a")</f>
        <v>1.1214955515748906E-2</v>
      </c>
      <c r="AM461" s="185">
        <f>IFERROR(AM460/AVERAGE(AL452,AM452)*AO3/AM3,"n/a")</f>
        <v>1.1171820609430222E-2</v>
      </c>
      <c r="AN461" s="185">
        <f>IFERROR(AN460/AVERAGE(AM452,AN452)*AO3/AN3,"n/a")</f>
        <v>6.4843949560180591E-3</v>
      </c>
      <c r="AO461" s="186">
        <f>IFERROR(AO460/AVERAGE(AK452,AL452,AM452,AN452),"n/a")</f>
        <v>9.0270923043268766E-3</v>
      </c>
      <c r="AP461" s="185">
        <f>IFERROR(AP460/AVERAGE(AO452,AP452)*AT3/AP3,"n/a")</f>
        <v>5.4398837113383671E-3</v>
      </c>
      <c r="AQ461" s="185">
        <f>IFERROR(AQ460/AVERAGE(AP452,AQ452)*AT3/AQ3,"n/a")</f>
        <v>3.7652359927241447E-3</v>
      </c>
      <c r="AR461" s="185">
        <f>IFERROR(AR460/AVERAGE(AQ452,AR452)*AT3/AR3,"n/a")</f>
        <v>2.0294660729831488E-3</v>
      </c>
      <c r="AS461" s="185">
        <f>IFERROR(AS460/AVERAGE(AR452,AS452)*AT3/AS3,"n/a")</f>
        <v>1.3907166497154604E-3</v>
      </c>
      <c r="AT461" s="186">
        <f>IFERROR(AT460/AVERAGE(AP452,AQ452,AR452,AS452),"n/a")</f>
        <v>2.3338130615737679E-3</v>
      </c>
      <c r="AU461" s="185">
        <f>IFERROR(AU460/AVERAGE(AT452,AU452)*AY3/AU3,"n/a")</f>
        <v>2.1881706893037418E-3</v>
      </c>
      <c r="AV461" s="185">
        <f>IFERROR(AV460/AVERAGE(AU452,AV452)*AY3/AV3,"n/a")</f>
        <v>2.5952694991840902E-3</v>
      </c>
      <c r="AW461" s="722">
        <f>IFERROR(AW460/AVERAGE(AV452,AW452)*AY3/AW3,"n/a")</f>
        <v>2.4061565966266344E-3</v>
      </c>
      <c r="AX461" s="157">
        <v>2E-3</v>
      </c>
      <c r="AY461" s="186">
        <f ca="1">IFERROR(AY460/AVERAGE(AU452,AV452,AW452,AX452),"n/a")</f>
        <v>2.3103270005743418E-3</v>
      </c>
      <c r="AZ461" s="157">
        <v>2E-3</v>
      </c>
      <c r="BA461" s="157">
        <v>2E-3</v>
      </c>
      <c r="BB461" s="157">
        <v>2E-3</v>
      </c>
      <c r="BC461" s="157">
        <v>2E-3</v>
      </c>
      <c r="BD461" s="186">
        <f ca="1">IFERROR(BD460/AVERAGE(AZ452,BA452,BB452,BC452),"n/a")</f>
        <v>1.7354966546471368E-3</v>
      </c>
      <c r="BE461" s="1017">
        <v>1.8490146065507007E-3</v>
      </c>
      <c r="BF461" s="1017">
        <v>1.8490146065507007E-3</v>
      </c>
      <c r="BG461" s="1017">
        <v>1.8490146065507007E-3</v>
      </c>
      <c r="BH461" s="361"/>
    </row>
    <row r="462" spans="1:60" s="356" customFormat="1" hidden="1" outlineLevel="1" x14ac:dyDescent="0.25">
      <c r="A462" s="439" t="s">
        <v>503</v>
      </c>
      <c r="B462" s="450"/>
      <c r="C462" s="559">
        <f t="shared" ref="C462:AQ462" si="459">IFERROR(C458-C460,"n/a")</f>
        <v>2.3720000000000003</v>
      </c>
      <c r="D462" s="559">
        <f t="shared" si="459"/>
        <v>0.73399999999999999</v>
      </c>
      <c r="E462" s="559">
        <f t="shared" si="459"/>
        <v>-0.21200000000000002</v>
      </c>
      <c r="F462" s="559">
        <f t="shared" si="459"/>
        <v>-3.3999999999999975E-2</v>
      </c>
      <c r="G462" s="558">
        <f t="shared" si="459"/>
        <v>0.108</v>
      </c>
      <c r="H462" s="558">
        <f t="shared" si="459"/>
        <v>20.076999999999998</v>
      </c>
      <c r="I462" s="558">
        <f t="shared" si="459"/>
        <v>6.4240000000000004</v>
      </c>
      <c r="J462" s="558">
        <f t="shared" si="459"/>
        <v>6.1359999999999966</v>
      </c>
      <c r="K462" s="559">
        <f t="shared" si="459"/>
        <v>32.744999999999997</v>
      </c>
      <c r="L462" s="558">
        <f t="shared" si="459"/>
        <v>11.741999999999999</v>
      </c>
      <c r="M462" s="558">
        <f t="shared" si="459"/>
        <v>30.771000000000001</v>
      </c>
      <c r="N462" s="558">
        <f t="shared" si="459"/>
        <v>28.762</v>
      </c>
      <c r="O462" s="558">
        <f t="shared" si="459"/>
        <v>28.483999999999998</v>
      </c>
      <c r="P462" s="559">
        <f t="shared" si="459"/>
        <v>99.759999999999991</v>
      </c>
      <c r="Q462" s="558">
        <f t="shared" si="459"/>
        <v>26.39</v>
      </c>
      <c r="R462" s="558">
        <f t="shared" si="459"/>
        <v>24.105</v>
      </c>
      <c r="S462" s="558">
        <f t="shared" si="459"/>
        <v>28.980999999999998</v>
      </c>
      <c r="T462" s="558">
        <f t="shared" si="459"/>
        <v>37.866999999999997</v>
      </c>
      <c r="U462" s="559">
        <f t="shared" si="459"/>
        <v>117.343</v>
      </c>
      <c r="V462" s="558">
        <f t="shared" si="459"/>
        <v>39.374000000000002</v>
      </c>
      <c r="W462" s="558">
        <f t="shared" si="459"/>
        <v>44.126000000000005</v>
      </c>
      <c r="X462" s="558">
        <f t="shared" si="459"/>
        <v>43.855000000000004</v>
      </c>
      <c r="Y462" s="558">
        <f t="shared" si="459"/>
        <v>62.924999999999997</v>
      </c>
      <c r="Z462" s="559">
        <f t="shared" si="459"/>
        <v>190.28</v>
      </c>
      <c r="AA462" s="558">
        <f t="shared" si="459"/>
        <v>96.256</v>
      </c>
      <c r="AB462" s="558">
        <f t="shared" si="459"/>
        <v>103.65600000000001</v>
      </c>
      <c r="AC462" s="558">
        <f t="shared" si="459"/>
        <v>111.57799999999999</v>
      </c>
      <c r="AD462" s="558">
        <f t="shared" si="459"/>
        <v>140.083</v>
      </c>
      <c r="AE462" s="559">
        <f t="shared" si="459"/>
        <v>451.57300000000004</v>
      </c>
      <c r="AF462" s="558">
        <f t="shared" si="459"/>
        <v>144.33199999999999</v>
      </c>
      <c r="AG462" s="558">
        <f t="shared" si="459"/>
        <v>158.518</v>
      </c>
      <c r="AH462" s="558">
        <f t="shared" si="459"/>
        <v>168.31299999999999</v>
      </c>
      <c r="AI462" s="558">
        <f t="shared" si="459"/>
        <v>167.37500000000006</v>
      </c>
      <c r="AJ462" s="559">
        <f t="shared" si="459"/>
        <v>638.53800000000001</v>
      </c>
      <c r="AK462" s="558">
        <f t="shared" si="459"/>
        <v>148.691</v>
      </c>
      <c r="AL462" s="558">
        <f t="shared" si="459"/>
        <v>161.61700000000002</v>
      </c>
      <c r="AM462" s="558">
        <f t="shared" si="459"/>
        <v>170</v>
      </c>
      <c r="AN462" s="558">
        <f t="shared" si="459"/>
        <v>160.69199999999998</v>
      </c>
      <c r="AO462" s="559">
        <f t="shared" si="459"/>
        <v>641</v>
      </c>
      <c r="AP462" s="558">
        <f t="shared" si="459"/>
        <v>159</v>
      </c>
      <c r="AQ462" s="558">
        <f t="shared" si="459"/>
        <v>162</v>
      </c>
      <c r="AR462" s="558">
        <f t="shared" ref="AR462:AX462" si="460">IFERROR(AR458-AR460,"n/a")</f>
        <v>157</v>
      </c>
      <c r="AS462" s="558">
        <f t="shared" si="460"/>
        <v>240</v>
      </c>
      <c r="AT462" s="559">
        <f t="shared" si="460"/>
        <v>718</v>
      </c>
      <c r="AU462" s="558">
        <f t="shared" si="460"/>
        <v>89</v>
      </c>
      <c r="AV462" s="558">
        <f>IFERROR(AV458-AV460,"n/a")</f>
        <v>64</v>
      </c>
      <c r="AW462" s="740">
        <f>IFERROR(AW458-AW460,"n/a")</f>
        <v>116</v>
      </c>
      <c r="AX462" s="558">
        <f t="shared" si="460"/>
        <v>53.379156164383559</v>
      </c>
      <c r="AY462" s="559">
        <f>SUM(AU462,AV462,AW462,AX462)</f>
        <v>322.37915616438357</v>
      </c>
      <c r="AZ462" s="558">
        <f ca="1">IFERROR(AZ458-AZ460,"n/a")</f>
        <v>51.646650136032505</v>
      </c>
      <c r="BA462" s="558">
        <f ca="1">IFERROR(BA458-BA460,"n/a")</f>
        <v>51.06718970280798</v>
      </c>
      <c r="BB462" s="558">
        <f ca="1">IFERROR(BB458-BB460,"n/a")</f>
        <v>50.190228494271196</v>
      </c>
      <c r="BC462" s="558">
        <f ca="1">IFERROR(BC458-BC460,"n/a")</f>
        <v>47.334970959513058</v>
      </c>
      <c r="BD462" s="559">
        <f ca="1">SUM(AZ462,BA462,BB462,BC462)</f>
        <v>200.23903929262474</v>
      </c>
      <c r="BE462" s="559">
        <f ca="1">IFERROR(BE458-BE460,"n/a")</f>
        <v>186.86562359677646</v>
      </c>
      <c r="BF462" s="559">
        <f ca="1">IFERROR(BF458-BF460,"n/a")</f>
        <v>163.95577906781037</v>
      </c>
      <c r="BG462" s="559">
        <f ca="1">IFERROR(BG458-BG460,"n/a")</f>
        <v>133.30038146007001</v>
      </c>
      <c r="BH462" s="361"/>
    </row>
    <row r="463" spans="1:60" s="356" customFormat="1" hidden="1" outlineLevel="1" x14ac:dyDescent="0.25">
      <c r="A463" s="437" t="s">
        <v>504</v>
      </c>
      <c r="B463" s="531"/>
      <c r="C463" s="186"/>
      <c r="D463" s="186">
        <f>IFERROR(IF(D462/AVERAGE(C455,D455)&lt;0,"n/a",D462/AVERAGE(C455,D455)),"n/a")</f>
        <v>1.9462526681427072E-2</v>
      </c>
      <c r="E463" s="186" t="str">
        <f>IFERROR(IF(E462/AVERAGE(D455,E455)&lt;0,"n/a",E462/AVERAGE(D455,E455)),"n/a")</f>
        <v>n/a</v>
      </c>
      <c r="F463" s="186" t="str">
        <f>IFERROR(IF(F462/AVERAGE(E455,F455)&lt;0,"n/a",F462/AVERAGE(E455,F455)),"n/a")</f>
        <v>n/a</v>
      </c>
      <c r="G463" s="185">
        <f>IFERROR(IF(G462/AVERAGE(F455,G455)&lt;0,"n/a",G462/AVERAGE(F455,G455)*K3/G3),"n/a")</f>
        <v>9.4989828714687856E-4</v>
      </c>
      <c r="H463" s="185">
        <f>IFERROR(IF(H462/AVERAGE(G455,H455)&lt;0,"n/a",H462/AVERAGE(G455,H455)*K3/H3),"n/a")</f>
        <v>0.15350159713316414</v>
      </c>
      <c r="I463" s="185">
        <f>IFERROR(IF(I462/AVERAGE(H455,I455)&lt;0,"n/a",I462/AVERAGE(H455,I455)*K3/I3),"n/a")</f>
        <v>4.0117743685402545E-2</v>
      </c>
      <c r="J463" s="185">
        <f>IFERROR(IF(J462/AVERAGE(I455,J455)&lt;0,"n/a",J462/AVERAGE(I455,J455)*K3/J3),"n/a")</f>
        <v>3.7925365784602101E-2</v>
      </c>
      <c r="K463" s="186">
        <f>IFERROR(IF(K462/AVERAGE(G455,H455,I455,J455)&lt;0,"n/a",K462/AVERAGE(G455,H455,I455,J455)),"n/a")</f>
        <v>5.6142257914909628E-2</v>
      </c>
      <c r="L463" s="185">
        <f>IFERROR(IF(L462/AVERAGE(K455,L455)&lt;0,"n/a",L462/AVERAGE(K455,L455)*P3/L3),"n/a")</f>
        <v>3.3922074042730919E-2</v>
      </c>
      <c r="M463" s="185">
        <f>IFERROR(IF(M462/AVERAGE(L455,M455)&lt;0,"n/a",M462/AVERAGE(L455,M455)*P3/M3),"n/a")</f>
        <v>5.3069145788260219E-2</v>
      </c>
      <c r="N463" s="185">
        <f>IFERROR(IF(N462/AVERAGE(M455,N455)&lt;0,"n/a",N462/AVERAGE(M455,N455)*P3/N3),"n/a")</f>
        <v>4.6391522241220298E-2</v>
      </c>
      <c r="O463" s="185">
        <f>IFERROR(IF(O462/AVERAGE(N455,O455)&lt;0,"n/a",O462/AVERAGE(N455,O455)*P3/O3),"n/a")</f>
        <v>4.5595906277327958E-2</v>
      </c>
      <c r="P463" s="186">
        <f>IFERROR(IF(P462/AVERAGE(L455,M455,N455,O455)&lt;0,"n/a",P462/AVERAGE(L455,M455,N455,O455)),"n/a")</f>
        <v>4.1530885213375009E-2</v>
      </c>
      <c r="Q463" s="185">
        <f>IFERROR(IF(Q462/AVERAGE(P455,Q455)&lt;0,"n/a",Q462/AVERAGE(P455,Q455)*U3/Q3),"n/a")</f>
        <v>4.2197517069506446E-2</v>
      </c>
      <c r="R463" s="185">
        <f>IFERROR(IF(R462/AVERAGE(Q455,R455)&lt;0,"n/a",R462/AVERAGE(Q455,R455)*U3/R3),"n/a")</f>
        <v>3.6675598062106803E-2</v>
      </c>
      <c r="S463" s="185">
        <f>IFERROR(IF(S462/AVERAGE(R455,S455)&lt;0,"n/a",S462/AVERAGE(R455,S455)*U3/S3),"n/a")</f>
        <v>4.2844448026719092E-2</v>
      </c>
      <c r="T463" s="185">
        <f>IFERROR(IF(T462/AVERAGE(S455,T455)&lt;0,"n/a",T462/AVERAGE(S455,T455)*U3/T3),"n/a")</f>
        <v>5.5693806090391276E-2</v>
      </c>
      <c r="U463" s="186">
        <f>IFERROR(IF(U462/AVERAGE(Q455,R455,S455,T455)&lt;0,"n/a",U462/AVERAGE(Q455,R455,S455,T455)),"n/a")</f>
        <v>4.4000571085363108E-2</v>
      </c>
      <c r="V463" s="185">
        <f>IFERROR(IF(V462/AVERAGE(U455,V455)&lt;0,"n/a",V462/AVERAGE(U455,V455)*Z3/V3),"n/a")</f>
        <v>5.3884331600616502E-2</v>
      </c>
      <c r="W463" s="185">
        <f>IFERROR(IF(W462/AVERAGE(V455,W455)&lt;0,"n/a",W462/AVERAGE(V455,W455)*Z3/W3),"n/a")</f>
        <v>5.5062957015638084E-2</v>
      </c>
      <c r="X463" s="185">
        <f>IFERROR(IF(X462/AVERAGE(W455,X455)&lt;0,"n/a",X462/AVERAGE(W455,X455)*Z3/X3),"n/a")</f>
        <v>5.8161020307673179E-2</v>
      </c>
      <c r="Y463" s="185">
        <f>IFERROR(IF(Y462/AVERAGE(X455,Y455)&lt;0,"n/a",Y462/AVERAGE(X455,Y455)*Z3/Y3),"n/a")</f>
        <v>5.086038433119569E-2</v>
      </c>
      <c r="Z463" s="186">
        <f>IFERROR(IF(Z462/AVERAGE(V455,W455,X455,Y455)&lt;0,"n/a",Z462/AVERAGE(V455,W455,X455,Y455)),"n/a")</f>
        <v>4.672283900423975E-2</v>
      </c>
      <c r="AA463" s="185">
        <f>IFERROR(IF(AA462/AVERAGE(Z455,AA455)&lt;0,"n/a",AA462/AVERAGE(Z455,AA455)*AE3/AA3),"n/a")</f>
        <v>5.1036029833877714E-2</v>
      </c>
      <c r="AB463" s="185">
        <f>IFERROR(IF(AB462/AVERAGE(AA455,AB455)&lt;0,"n/a",AB462/AVERAGE(AA455,AB455)*AE3/AB3),"n/a")</f>
        <v>5.1605991484140634E-2</v>
      </c>
      <c r="AC463" s="185">
        <f>IFERROR(IF(AC462/AVERAGE(AB455,AC455)&lt;0,"n/a",AC462/AVERAGE(AB455,AC455)*AE3/AC3),"n/a")</f>
        <v>4.9316904186034155E-2</v>
      </c>
      <c r="AD463" s="185">
        <f>IFERROR(IF(AD462/AVERAGE(AC455,AD455)&lt;0,"n/a",AD462/AVERAGE(AC455,AD455)*AE3/AD3),"n/a")</f>
        <v>5.4691725200202226E-2</v>
      </c>
      <c r="AE463" s="186">
        <f>IFERROR(IF(AE462/AVERAGE(AA455,AB455,AC455,AD455)&lt;0,"n/a",AE462/AVERAGE(AA455,AB455,AC455,AD455)),"n/a")</f>
        <v>4.9573706229081929E-2</v>
      </c>
      <c r="AF463" s="185">
        <f>IFERROR(IF(AF462/AVERAGE(AE455,AF455)&lt;0,"n/a",AF462/AVERAGE(AE455,AF455)*AJ3/AF3),"n/a")</f>
        <v>5.5544948690184982E-2</v>
      </c>
      <c r="AG463" s="185">
        <f>IFERROR(IF(AG462/AVERAGE(AF455,AG455)&lt;0,"n/a",AG462/AVERAGE(AF455,AG455)*AJ3/AG3),"n/a")</f>
        <v>5.6824575673400102E-2</v>
      </c>
      <c r="AH463" s="185">
        <f>IFERROR(IF(AH462/AVERAGE(AG455,AH455)&lt;0,"n/a",AH462/AVERAGE(AG455,AH455)*AJ3/AH3),"n/a")</f>
        <v>5.7084720609290478E-2</v>
      </c>
      <c r="AI463" s="185">
        <f>IFERROR(IF(AI462/AVERAGE(AH455,AI455)&lt;0,"n/a",AI462/AVERAGE(AH455,AI455)*AJ3/AI3),"n/a")</f>
        <v>5.5918342803779865E-2</v>
      </c>
      <c r="AJ463" s="186">
        <f>IFERROR(IF(AJ462/AVERAGE(AF455,AG455,AH455,AI455)&lt;0,"n/a",AJ462/AVERAGE(AF455,AG455,AH455,AI455)),"n/a")</f>
        <v>5.5370301540986926E-2</v>
      </c>
      <c r="AK463" s="185">
        <f>IFERROR(IF(AK462/AVERAGE(AJ455,AK455)&lt;0,"n/a",AK462/AVERAGE(AJ455,AK455)*AO3/AK3),"n/a")</f>
        <v>5.1397723311104898E-2</v>
      </c>
      <c r="AL463" s="185">
        <f>IFERROR(IF(AL462/AVERAGE(AK455,AL455)&lt;0,"n/a",AL462/AVERAGE(AK455,AL455)*AO3/AL3),"n/a")</f>
        <v>5.2876554880886439E-2</v>
      </c>
      <c r="AM463" s="185">
        <f>IFERROR(IF(AM462/AVERAGE(AL455,AM455)&lt;0,"n/a",AM462/AVERAGE(AL455,AM455)*AO3/AM3),"n/a")</f>
        <v>5.1156256884762399E-2</v>
      </c>
      <c r="AN463" s="185">
        <f>IFERROR(IF(AN462/AVERAGE(AM455,AN455)&lt;0,"n/a",AN462/AVERAGE(AM455,AN455)*AO3/AN3),"n/a")</f>
        <v>4.7644274977823836E-2</v>
      </c>
      <c r="AO463" s="186">
        <f>IFERROR(IF(AO462/AVERAGE(AK455,AL455,AM455,AN455)&lt;0,"n/a",AO462/AVERAGE(AK455,AL455,AM455,AN455)),"n/a")</f>
        <v>4.9998881655279673E-2</v>
      </c>
      <c r="AP463" s="185">
        <f>IFERROR(IF(AP462/AVERAGE(AO455,AP455)&lt;0,"n/a",AP462/AVERAGE(AO455,AP455)*AT3/AP3),"n/a")</f>
        <v>4.6743257473467255E-2</v>
      </c>
      <c r="AQ463" s="185">
        <f>IFERROR(IF(AQ462/AVERAGE(AP455,AQ455)&lt;0,"n/a",AQ462/AVERAGE(AP455,AQ455)*AT3/AQ3),"n/a")</f>
        <v>4.6404133577411827E-2</v>
      </c>
      <c r="AR463" s="185">
        <f>IFERROR(IF(AR462/AVERAGE(AQ455,AR455)&lt;0,"n/a",AR462/AVERAGE(AQ455,AR455)*AT3/AR3),"n/a")</f>
        <v>4.4818237408276347E-2</v>
      </c>
      <c r="AS463" s="185">
        <f>IFERROR(IF(AS462/AVERAGE(AR455,AS455)&lt;0,"n/a",AS462/AVERAGE(AR455,AS455)*AT3/AS3),"n/a")</f>
        <v>7.4967227441555595E-2</v>
      </c>
      <c r="AT463" s="186">
        <f>IFERROR(IF(AT462/AVERAGE(AP455,AQ455,AR455,AS455)&lt;0,"n/a",AT462/AVERAGE(AP455,AQ455,AR455,AS455)),"n/a")</f>
        <v>5.3628113679650445E-2</v>
      </c>
      <c r="AU463" s="185">
        <f>IFERROR(IF(AU462/AVERAGE(AT455,AU455)&lt;0,"n/a",AU462/AVERAGE(AT455,AU455)*AY3/AU3),"n/a")</f>
        <v>3.1926446813006451E-2</v>
      </c>
      <c r="AV463" s="185">
        <f>IFERROR(IF(AV462/AVERAGE(AU455,AV455)&lt;0,"n/a",AV462/AVERAGE(AU455,AV455)*AY3/AV3),"n/a")</f>
        <v>2.5324648222098036E-2</v>
      </c>
      <c r="AW463" s="722">
        <f>IFERROR(IF(AW462/AVERAGE(AV455,AW455)&lt;0,"n/a",AW462/AVERAGE(AV455,AW455)*AY3/AW3),"n/a")</f>
        <v>5.2431488613426128E-2</v>
      </c>
      <c r="AX463" s="185">
        <f>IFERROR(IF(AX462/AVERAGE(AW455,AX455)&lt;0,"n/a",AX462/AVERAGE(AW455,AX455)*AY3/AX3),"n/a")</f>
        <v>2.597203826342899E-2</v>
      </c>
      <c r="AY463" s="186">
        <f>IFERROR(IF(AY462/AVERAGE(AU455,AV455,AW455,AX455)&lt;0,"n/a",AY462/AVERAGE(AU455,AV455,AW455,AX455)),"n/a")</f>
        <v>3.525099435929948E-2</v>
      </c>
      <c r="AZ463" s="185">
        <f ca="1">IFERROR(IF(AZ462/AVERAGE(AY455,AZ455)&lt;0,"n/a",AZ462/AVERAGE(AY455,AZ455)*BD3/AZ3),"n/a")</f>
        <v>2.5687498023671908E-2</v>
      </c>
      <c r="BA463" s="185">
        <f ca="1">IFERROR(IF(BA462/AVERAGE(AZ455,BA455)&lt;0,"n/a",BA462/AVERAGE(AZ455,BA455)*BD3/BA3),"n/a")</f>
        <v>2.5120178650975468E-2</v>
      </c>
      <c r="BB463" s="185">
        <f ca="1">IFERROR(IF(BB462/AVERAGE(BA455,BB455)&lt;0,"n/a",BB462/AVERAGE(BA455,BB455)*BD3/BB3),"n/a")</f>
        <v>2.4420441021756441E-2</v>
      </c>
      <c r="BC463" s="185">
        <f ca="1">IFERROR(IF(BC462/AVERAGE(BB455,BC455)&lt;0,"n/a",BC462/AVERAGE(BB455,BC455)*BD3/BC3),"n/a")</f>
        <v>2.3031193546275319E-2</v>
      </c>
      <c r="BD463" s="186">
        <f ca="1">IFERROR(IF(BD462/AVERAGE(AZ455,BA455,BB455,BC455)&lt;0,"n/a",BD462/AVERAGE(AZ455,BA455,BB455,BC455)),"n/a")</f>
        <v>2.4557154683912771E-2</v>
      </c>
      <c r="BE463" s="186">
        <f ca="1">IFERROR(IF(BE462/AVERAGE(BD455,BE455)&lt;0,"n/a",BE462/AVERAGE(BD455,BE455)),"n/a")</f>
        <v>2.2917049742062358E-2</v>
      </c>
      <c r="BF463" s="186">
        <f ca="1">IFERROR(IF(BF462/AVERAGE(BE455,BF455)&lt;0,"n/a",BF462/AVERAGE(BE455,BF455)),"n/a")</f>
        <v>2.0107404840300512E-2</v>
      </c>
      <c r="BG463" s="186">
        <f ca="1">IFERROR(IF(BG462/AVERAGE(BF455,BG455)&lt;0,"n/a",BG462/AVERAGE(BF455,BG455)),"n/a")</f>
        <v>1.6347851540356881E-2</v>
      </c>
      <c r="BH463" s="361"/>
    </row>
    <row r="464" spans="1:60" s="356" customFormat="1" collapsed="1" x14ac:dyDescent="0.25">
      <c r="A464" s="437"/>
      <c r="B464" s="531"/>
      <c r="C464" s="186"/>
      <c r="D464" s="186"/>
      <c r="E464" s="186"/>
      <c r="F464" s="186"/>
      <c r="G464" s="185"/>
      <c r="H464" s="185"/>
      <c r="I464" s="185"/>
      <c r="J464" s="185"/>
      <c r="K464" s="186"/>
      <c r="L464" s="185"/>
      <c r="M464" s="185"/>
      <c r="N464" s="185"/>
      <c r="O464" s="185"/>
      <c r="P464" s="186"/>
      <c r="Q464" s="185"/>
      <c r="R464" s="185"/>
      <c r="S464" s="185"/>
      <c r="T464" s="185"/>
      <c r="U464" s="186"/>
      <c r="V464" s="185"/>
      <c r="W464" s="185"/>
      <c r="X464" s="185"/>
      <c r="Y464" s="185"/>
      <c r="Z464" s="186"/>
      <c r="AA464" s="185"/>
      <c r="AB464" s="185"/>
      <c r="AC464" s="185"/>
      <c r="AD464" s="185"/>
      <c r="AE464" s="186"/>
      <c r="AF464" s="185"/>
      <c r="AG464" s="185"/>
      <c r="AH464" s="185"/>
      <c r="AI464" s="185"/>
      <c r="AJ464" s="186"/>
      <c r="AK464" s="185"/>
      <c r="AL464" s="185"/>
      <c r="AM464" s="185"/>
      <c r="AN464" s="185"/>
      <c r="AO464" s="186"/>
      <c r="AP464" s="185"/>
      <c r="AQ464" s="185"/>
      <c r="AR464" s="185"/>
      <c r="AS464" s="185"/>
      <c r="AT464" s="186"/>
      <c r="AU464" s="185"/>
      <c r="AV464" s="185"/>
      <c r="AW464" s="722"/>
      <c r="AX464" s="185"/>
      <c r="AY464" s="186"/>
      <c r="AZ464" s="185"/>
      <c r="BA464" s="185"/>
      <c r="BB464" s="185"/>
      <c r="BC464" s="185"/>
      <c r="BD464" s="186"/>
      <c r="BE464" s="186"/>
      <c r="BF464" s="186"/>
      <c r="BG464" s="186"/>
      <c r="BH464" s="361"/>
    </row>
    <row r="465" spans="1:60" s="356" customFormat="1" x14ac:dyDescent="0.25">
      <c r="A465" s="437" t="s">
        <v>505</v>
      </c>
      <c r="B465" s="531"/>
      <c r="C465" s="256" t="str">
        <f t="shared" ref="C465:AH465" si="461">IFERROR(IF(OR(C397&lt;0,C462&lt;0),"n/a",C397/C462),"n/a")</f>
        <v>n/a</v>
      </c>
      <c r="D465" s="256" t="str">
        <f t="shared" si="461"/>
        <v>n/a</v>
      </c>
      <c r="E465" s="256" t="str">
        <f t="shared" si="461"/>
        <v>n/a</v>
      </c>
      <c r="F465" s="256" t="str">
        <f t="shared" si="461"/>
        <v>n/a</v>
      </c>
      <c r="G465" s="560">
        <f t="shared" si="461"/>
        <v>251.24074074074127</v>
      </c>
      <c r="H465" s="560">
        <f t="shared" si="461"/>
        <v>1.4775613886536834</v>
      </c>
      <c r="I465" s="560">
        <f t="shared" si="461"/>
        <v>3.0098069738480695</v>
      </c>
      <c r="J465" s="560">
        <f t="shared" si="461"/>
        <v>10.330834419817483</v>
      </c>
      <c r="K465" s="256">
        <f t="shared" si="461"/>
        <v>4.2609253321117766</v>
      </c>
      <c r="L465" s="560">
        <f t="shared" si="461"/>
        <v>3.179952307954351</v>
      </c>
      <c r="M465" s="560">
        <f t="shared" si="461"/>
        <v>2.0065971206655586</v>
      </c>
      <c r="N465" s="560">
        <f t="shared" si="461"/>
        <v>2.25996105973159</v>
      </c>
      <c r="O465" s="560">
        <f t="shared" si="461"/>
        <v>1.3219702289004325</v>
      </c>
      <c r="P465" s="256">
        <f t="shared" si="461"/>
        <v>2.022233360064158</v>
      </c>
      <c r="Q465" s="560">
        <f t="shared" si="461"/>
        <v>0.67040545661235607</v>
      </c>
      <c r="R465" s="560" t="str">
        <f t="shared" si="461"/>
        <v>n/a</v>
      </c>
      <c r="S465" s="560" t="str">
        <f t="shared" si="461"/>
        <v>n/a</v>
      </c>
      <c r="T465" s="560" t="str">
        <f t="shared" si="461"/>
        <v>n/a</v>
      </c>
      <c r="U465" s="256" t="str">
        <f t="shared" si="461"/>
        <v>n/a</v>
      </c>
      <c r="V465" s="560" t="str">
        <f t="shared" si="461"/>
        <v>n/a</v>
      </c>
      <c r="W465" s="560">
        <f t="shared" si="461"/>
        <v>0.28337034854734211</v>
      </c>
      <c r="X465" s="560">
        <f t="shared" si="461"/>
        <v>10.389533690571193</v>
      </c>
      <c r="Y465" s="560">
        <f t="shared" si="461"/>
        <v>2.3512435439014681</v>
      </c>
      <c r="Z465" s="256">
        <f t="shared" si="461"/>
        <v>3.2267395417279769</v>
      </c>
      <c r="AA465" s="560">
        <f t="shared" si="461"/>
        <v>2.3143492353723403</v>
      </c>
      <c r="AB465" s="560">
        <f t="shared" si="461"/>
        <v>2.5497510997916168</v>
      </c>
      <c r="AC465" s="560" t="str">
        <f t="shared" si="461"/>
        <v>n/a</v>
      </c>
      <c r="AD465" s="560">
        <f t="shared" si="461"/>
        <v>4.1496826881200377E-2</v>
      </c>
      <c r="AE465" s="256">
        <f t="shared" si="461"/>
        <v>1.0423054522746058</v>
      </c>
      <c r="AF465" s="560" t="str">
        <f t="shared" si="461"/>
        <v>n/a</v>
      </c>
      <c r="AG465" s="560">
        <f t="shared" si="461"/>
        <v>0.38612018824360061</v>
      </c>
      <c r="AH465" s="560">
        <f t="shared" si="461"/>
        <v>6.6798761830636986</v>
      </c>
      <c r="AI465" s="560">
        <f t="shared" ref="AI465:AY465" si="462">IFERROR(IF(OR(AI397&lt;0,AI462&lt;0),"n/a",AI397/AI462),"n/a")</f>
        <v>6.6651889469753538</v>
      </c>
      <c r="AJ465" s="256">
        <f t="shared" si="462"/>
        <v>3.5424688898702983</v>
      </c>
      <c r="AK465" s="560">
        <f t="shared" si="462"/>
        <v>1.0365388624731813</v>
      </c>
      <c r="AL465" s="560">
        <f t="shared" si="462"/>
        <v>3.8422752556971069</v>
      </c>
      <c r="AM465" s="560">
        <f t="shared" si="462"/>
        <v>5.828535294117648</v>
      </c>
      <c r="AN465" s="560">
        <f t="shared" si="462"/>
        <v>7.5737933437881146</v>
      </c>
      <c r="AO465" s="256">
        <f t="shared" si="462"/>
        <v>4.6536661466458655</v>
      </c>
      <c r="AP465" s="560">
        <f t="shared" si="462"/>
        <v>6.5849056603773581</v>
      </c>
      <c r="AQ465" s="560">
        <f t="shared" si="462"/>
        <v>7.6604938271604937</v>
      </c>
      <c r="AR465" s="560">
        <f>IFERROR(IF(OR(AR397&lt;0,AR462&lt;0),"n/a",AR397/AR462),"n/a")</f>
        <v>12.331210191082803</v>
      </c>
      <c r="AS465" s="560">
        <f>IFERROR(IF(OR(AS397&lt;0,AS462&lt;0),"n/a",AS397/AS462),"n/a")</f>
        <v>7.6083333333333334</v>
      </c>
      <c r="AT465" s="256">
        <f>IFERROR(IF(OR(AT397&lt;0,AT462&lt;0),"n/a",AT397/AT462),"n/a")</f>
        <v>8.4261838440111418</v>
      </c>
      <c r="AU465" s="560">
        <f t="shared" ref="AU465" si="463">IFERROR(IF(OR(AU397&lt;0,AU462&lt;0),"n/a",AU397/AU462),"n/a")</f>
        <v>20.55056179775281</v>
      </c>
      <c r="AV465" s="560">
        <f>IFERROR(IF(OR(AV397&lt;0,AV462&lt;0),"n/a",AV397/AV462),"n/a")</f>
        <v>38.546875</v>
      </c>
      <c r="AW465" s="741">
        <f>IFERROR(IF(OR(AW397&lt;0,AW462&lt;0),"n/a",AW397/AW462),"n/a")</f>
        <v>27.931034482758619</v>
      </c>
      <c r="AX465" s="560">
        <f t="shared" si="462"/>
        <v>65.200149662532212</v>
      </c>
      <c r="AY465" s="256">
        <f t="shared" si="462"/>
        <v>34.17196416123187</v>
      </c>
      <c r="AZ465" s="560">
        <f t="shared" ref="AZ465:BG465" ca="1" si="464">IFERROR(IF(OR(AZ397&lt;0,AZ462&lt;0),"n/a",AZ397/AZ462),"n/a")</f>
        <v>83.764669349903158</v>
      </c>
      <c r="BA465" s="560">
        <f t="shared" ca="1" si="464"/>
        <v>94.299281224693075</v>
      </c>
      <c r="BB465" s="560">
        <f t="shared" ca="1" si="464"/>
        <v>119.08957955432912</v>
      </c>
      <c r="BC465" s="560">
        <f t="shared" ca="1" si="464"/>
        <v>124.63166147842392</v>
      </c>
      <c r="BD465" s="256">
        <f t="shared" ca="1" si="464"/>
        <v>104.96621045976228</v>
      </c>
      <c r="BE465" s="256">
        <f t="shared" ca="1" si="464"/>
        <v>134.81053477273596</v>
      </c>
      <c r="BF465" s="256">
        <f t="shared" ca="1" si="464"/>
        <v>184.29877292647589</v>
      </c>
      <c r="BG465" s="256">
        <f t="shared" ca="1" si="464"/>
        <v>270.76268978233395</v>
      </c>
      <c r="BH465" s="361"/>
    </row>
    <row r="466" spans="1:60" s="123" customFormat="1" x14ac:dyDescent="0.25">
      <c r="A466" s="231" t="s">
        <v>162</v>
      </c>
      <c r="B466" s="672"/>
      <c r="C466" s="172" t="str">
        <f>IF(C456&lt;0,"n/a",C456/C397)</f>
        <v>n/a</v>
      </c>
      <c r="D466" s="172" t="str">
        <f>IF(D456&lt;0,"n/a",D456/D397)</f>
        <v>n/a</v>
      </c>
      <c r="E466" s="172" t="str">
        <f>IF(E456&lt;0,"n/a",E456/E397)</f>
        <v>n/a</v>
      </c>
      <c r="F466" s="172">
        <f>IF(F456&lt;0,"n/a",F456/F397)</f>
        <v>-0.77916863560969585</v>
      </c>
      <c r="G466" s="560"/>
      <c r="H466" s="560"/>
      <c r="I466" s="560"/>
      <c r="J466" s="560"/>
      <c r="K466" s="172" t="str">
        <f>IF(K456&lt;0,"n/a",K456/K397)</f>
        <v>n/a</v>
      </c>
      <c r="L466" s="560"/>
      <c r="M466" s="560"/>
      <c r="N466" s="560"/>
      <c r="O466" s="560"/>
      <c r="P466" s="172">
        <f>IF(P456&lt;0,"n/a",P456/P397)</f>
        <v>2.7977872289801571</v>
      </c>
      <c r="Q466" s="560"/>
      <c r="R466" s="560"/>
      <c r="S466" s="560"/>
      <c r="T466" s="560"/>
      <c r="U466" s="172">
        <f>IF(U456&lt;0,"n/a",U456/U397)</f>
        <v>-15.577363598500636</v>
      </c>
      <c r="V466" s="560"/>
      <c r="W466" s="673"/>
      <c r="X466" s="673"/>
      <c r="Y466" s="560"/>
      <c r="Z466" s="172">
        <f>IF(Z456&lt;0,"n/a",Z456/Z397)</f>
        <v>5.9117110543597278</v>
      </c>
      <c r="AA466" s="673"/>
      <c r="AB466" s="673"/>
      <c r="AC466" s="673"/>
      <c r="AD466" s="560"/>
      <c r="AE466" s="172">
        <f>IF(AE456&lt;0,"n/a",AE456/AE397)</f>
        <v>14.429430373695743</v>
      </c>
      <c r="AF466" s="673"/>
      <c r="AG466" s="673"/>
      <c r="AH466" s="673"/>
      <c r="AI466" s="560"/>
      <c r="AJ466" s="172">
        <f>IF(AJ456&lt;0,"n/a",AJ456/AJ397)</f>
        <v>3.5778949699845395</v>
      </c>
      <c r="AK466" s="673"/>
      <c r="AL466" s="673"/>
      <c r="AM466" s="673"/>
      <c r="AN466" s="560"/>
      <c r="AO466" s="172">
        <f>IF(AO456&lt;0,"n/a",AO456/AO397)</f>
        <v>2.3147837747234328</v>
      </c>
      <c r="AP466" s="673"/>
      <c r="AQ466" s="673"/>
      <c r="AR466" s="673"/>
      <c r="AS466" s="560"/>
      <c r="AT466" s="172" t="str">
        <f>IF(AT456&lt;0,"n/a",AT456/AT397)</f>
        <v>n/a</v>
      </c>
      <c r="AU466" s="673"/>
      <c r="AV466" s="673"/>
      <c r="AW466" s="742"/>
      <c r="AX466" s="673"/>
      <c r="AY466" s="256" t="str">
        <f ca="1">IF(AY456&lt;0,"n/a",AY456/AY397)</f>
        <v>n/a</v>
      </c>
      <c r="AZ466" s="673"/>
      <c r="BA466" s="673"/>
      <c r="BB466" s="673"/>
      <c r="BC466" s="673"/>
      <c r="BD466" s="256" t="str">
        <f ca="1">IF(BD456&lt;0,"n/a",BD456/BD397)</f>
        <v>n/a</v>
      </c>
      <c r="BE466" s="256" t="str">
        <f ca="1">IF(BE456&lt;0,"n/a",BE456/BE397)</f>
        <v>n/a</v>
      </c>
      <c r="BF466" s="256" t="str">
        <f ca="1">IF(BF456&lt;0,"n/a",BF456/BF397)</f>
        <v>n/a</v>
      </c>
      <c r="BG466" s="256" t="str">
        <f ca="1">IF(BG456&lt;0,"n/a",BG456/BG397)</f>
        <v>n/a</v>
      </c>
      <c r="BH466" s="376"/>
    </row>
    <row r="467" spans="1:60" s="123" customFormat="1" x14ac:dyDescent="0.25">
      <c r="A467" s="231" t="s">
        <v>163</v>
      </c>
      <c r="B467" s="672"/>
      <c r="C467" s="172" t="str">
        <f>IF(C456&lt;0,"n/a",C456/C432)</f>
        <v>n/a</v>
      </c>
      <c r="D467" s="172" t="str">
        <f>IF(D456&lt;0,"n/a",D456/D432)</f>
        <v>n/a</v>
      </c>
      <c r="E467" s="172" t="str">
        <f>IF(E456&lt;0,"n/a",E456/E432)</f>
        <v>n/a</v>
      </c>
      <c r="F467" s="172">
        <f>IF(F456&lt;0,"n/a",F456/F432)</f>
        <v>-0.79534477177079943</v>
      </c>
      <c r="G467" s="560"/>
      <c r="H467" s="560"/>
      <c r="I467" s="560"/>
      <c r="J467" s="560"/>
      <c r="K467" s="172" t="str">
        <f>IF(K456&lt;0,"n/a",K456/K432)</f>
        <v>n/a</v>
      </c>
      <c r="L467" s="560"/>
      <c r="M467" s="560"/>
      <c r="N467" s="560"/>
      <c r="O467" s="560"/>
      <c r="P467" s="172">
        <f>IF(P456&lt;0,"n/a",P456/P432)</f>
        <v>2.8293431183830609</v>
      </c>
      <c r="Q467" s="560"/>
      <c r="R467" s="560"/>
      <c r="S467" s="560"/>
      <c r="T467" s="560"/>
      <c r="U467" s="172">
        <f>IF(U456&lt;0,"n/a",U456/U432)</f>
        <v>-47.934956744632998</v>
      </c>
      <c r="V467" s="560"/>
      <c r="W467" s="673"/>
      <c r="X467" s="673"/>
      <c r="Y467" s="560"/>
      <c r="Z467" s="172">
        <f>IF(Z456&lt;0,"n/a",Z456/Z432)</f>
        <v>6.3675302439161303</v>
      </c>
      <c r="AA467" s="673"/>
      <c r="AB467" s="673"/>
      <c r="AC467" s="673"/>
      <c r="AD467" s="560"/>
      <c r="AE467" s="172">
        <f>IF(AE456&lt;0,"n/a",AE456/AE432)</f>
        <v>15.578888814976066</v>
      </c>
      <c r="AF467" s="673"/>
      <c r="AG467" s="673"/>
      <c r="AH467" s="673"/>
      <c r="AI467" s="560"/>
      <c r="AJ467" s="172">
        <f>IF(AJ456&lt;0,"n/a",AJ456/AJ432)</f>
        <v>3.9675456687767894</v>
      </c>
      <c r="AK467" s="673"/>
      <c r="AL467" s="673"/>
      <c r="AM467" s="673"/>
      <c r="AN467" s="560"/>
      <c r="AO467" s="172">
        <f>IF(AO456&lt;0,"n/a",AO456/AO432)</f>
        <v>2.5072621641249091</v>
      </c>
      <c r="AP467" s="673"/>
      <c r="AQ467" s="673"/>
      <c r="AR467" s="673"/>
      <c r="AS467" s="560"/>
      <c r="AT467" s="172" t="str">
        <f>IF(AT456&lt;0,"n/a",AT456/AT432)</f>
        <v>n/a</v>
      </c>
      <c r="AU467" s="673"/>
      <c r="AV467" s="673"/>
      <c r="AW467" s="742"/>
      <c r="AX467" s="673"/>
      <c r="AY467" s="256" t="str">
        <f ca="1">IF(AY456&lt;0,"n/a",AY456/AY432)</f>
        <v>n/a</v>
      </c>
      <c r="AZ467" s="673"/>
      <c r="BA467" s="673"/>
      <c r="BB467" s="673"/>
      <c r="BC467" s="673"/>
      <c r="BD467" s="256" t="str">
        <f ca="1">IF(BD456&lt;0,"n/a",BD456/BD432)</f>
        <v>n/a</v>
      </c>
      <c r="BE467" s="256" t="str">
        <f ca="1">IF(BE456&lt;0,"n/a",BE456/BE432)</f>
        <v>n/a</v>
      </c>
      <c r="BF467" s="256" t="str">
        <f ca="1">IF(BF456&lt;0,"n/a",BF456/BF432)</f>
        <v>n/a</v>
      </c>
      <c r="BG467" s="256" t="str">
        <f ca="1">IF(BG456&lt;0,"n/a",BG456/BG432)</f>
        <v>n/a</v>
      </c>
      <c r="BH467" s="376"/>
    </row>
    <row r="468" spans="1:60" s="124" customFormat="1" x14ac:dyDescent="0.25">
      <c r="A468" s="674"/>
      <c r="B468" s="674"/>
      <c r="C468" s="703"/>
      <c r="D468" s="703"/>
      <c r="E468" s="703"/>
      <c r="F468" s="703"/>
      <c r="G468" s="381"/>
      <c r="H468" s="381"/>
      <c r="I468" s="381"/>
      <c r="J468" s="381"/>
      <c r="K468" s="703"/>
      <c r="L468" s="381"/>
      <c r="M468" s="381"/>
      <c r="N468" s="381"/>
      <c r="O468" s="381"/>
      <c r="P468" s="703"/>
      <c r="Q468" s="381"/>
      <c r="R468" s="381"/>
      <c r="S468" s="381"/>
      <c r="T468" s="381"/>
      <c r="U468" s="703"/>
      <c r="V468" s="381"/>
      <c r="W468" s="381"/>
      <c r="X468" s="381"/>
      <c r="Y468" s="381"/>
      <c r="Z468" s="703"/>
      <c r="AA468" s="381"/>
      <c r="AB468" s="381"/>
      <c r="AC468" s="381"/>
      <c r="AD468" s="381"/>
      <c r="AE468" s="703"/>
      <c r="AF468" s="381"/>
      <c r="AG468" s="381"/>
      <c r="AH468" s="381"/>
      <c r="AI468" s="381"/>
      <c r="AJ468" s="703"/>
      <c r="AK468" s="381"/>
      <c r="AL468" s="381"/>
      <c r="AM468" s="381"/>
      <c r="AN468" s="381"/>
      <c r="AO468" s="703"/>
      <c r="AP468" s="381"/>
      <c r="AQ468" s="381"/>
      <c r="AR468" s="381"/>
      <c r="AS468" s="381"/>
      <c r="AT468" s="703"/>
      <c r="AU468" s="381"/>
      <c r="AV468" s="381"/>
      <c r="AW468" s="720"/>
      <c r="AX468" s="381"/>
      <c r="AY468" s="703"/>
      <c r="AZ468" s="381"/>
      <c r="BA468" s="381"/>
      <c r="BB468" s="381"/>
      <c r="BC468" s="381"/>
      <c r="BD468" s="703"/>
      <c r="BE468" s="703"/>
      <c r="BF468" s="703"/>
      <c r="BG468" s="703"/>
      <c r="BH468" s="377"/>
    </row>
    <row r="469" spans="1:60" s="112" customFormat="1" x14ac:dyDescent="0.25">
      <c r="A469" s="1020" t="s">
        <v>164</v>
      </c>
      <c r="B469" s="1020"/>
      <c r="C469" s="1043"/>
      <c r="D469" s="1043"/>
      <c r="E469" s="1043"/>
      <c r="F469" s="1043"/>
      <c r="G469" s="1043"/>
      <c r="H469" s="1043"/>
      <c r="I469" s="1043"/>
      <c r="J469" s="1043"/>
      <c r="K469" s="1043"/>
      <c r="L469" s="1043"/>
      <c r="M469" s="1043"/>
      <c r="N469" s="1043"/>
      <c r="O469" s="1043"/>
      <c r="P469" s="1043"/>
      <c r="Q469" s="1043"/>
      <c r="R469" s="1043"/>
      <c r="S469" s="1043"/>
      <c r="T469" s="1043"/>
      <c r="U469" s="1043"/>
      <c r="V469" s="1043"/>
      <c r="W469" s="1043"/>
      <c r="X469" s="1043"/>
      <c r="Y469" s="1043"/>
      <c r="Z469" s="1043"/>
      <c r="AA469" s="1043"/>
      <c r="AB469" s="1043"/>
      <c r="AC469" s="1043"/>
      <c r="AD469" s="1043"/>
      <c r="AE469" s="1043"/>
      <c r="AF469" s="1043"/>
      <c r="AG469" s="1043"/>
      <c r="AH469" s="1043"/>
      <c r="AI469" s="1043"/>
      <c r="AJ469" s="1043"/>
      <c r="AK469" s="1043"/>
      <c r="AL469" s="1043"/>
      <c r="AM469" s="1043"/>
      <c r="AN469" s="1043"/>
      <c r="AO469" s="1043"/>
      <c r="AP469" s="1043"/>
      <c r="AQ469" s="1043"/>
      <c r="AR469" s="1043"/>
      <c r="AS469" s="1043"/>
      <c r="AT469" s="1043"/>
      <c r="AU469" s="1043"/>
      <c r="AV469" s="1043"/>
      <c r="AW469" s="1044"/>
      <c r="AX469" s="1043"/>
      <c r="AY469" s="1043"/>
      <c r="AZ469" s="1043"/>
      <c r="BA469" s="1043"/>
      <c r="BB469" s="1043"/>
      <c r="BC469" s="1043"/>
      <c r="BD469" s="1043"/>
      <c r="BE469" s="1043"/>
      <c r="BF469" s="1043"/>
      <c r="BG469" s="1043"/>
      <c r="BH469" s="1034"/>
    </row>
    <row r="470" spans="1:60" s="435" customFormat="1" x14ac:dyDescent="0.25">
      <c r="A470" s="587" t="str">
        <f>"Stock Price (Reporting Cur.) - "&amp;MO.ValuationToggle&amp;", "&amp;MO.ReportCurrency</f>
        <v>Stock Price (Reporting Cur.) - Avg, USD</v>
      </c>
      <c r="B470" s="433" t="s">
        <v>165</v>
      </c>
      <c r="C470" s="704"/>
      <c r="D470" s="614">
        <f t="shared" ref="D470:AH470" ca="1" si="465">INDEX(MO_VA_StockPrice_TradingCurrency,1,COLUMN())/INDEX(MO_VA_FX_Average,1,COLUMN())</f>
        <v>4.6683446153846102</v>
      </c>
      <c r="E470" s="614">
        <f t="shared" ca="1" si="465"/>
        <v>5.3609420634920602</v>
      </c>
      <c r="F470" s="614">
        <f t="shared" ca="1" si="465"/>
        <v>6.2337388000000002</v>
      </c>
      <c r="G470" s="612">
        <f t="shared" ca="1" si="465"/>
        <v>7.2993666666666703</v>
      </c>
      <c r="H470" s="612">
        <f t="shared" ca="1" si="465"/>
        <v>15.054917187499999</v>
      </c>
      <c r="I470" s="612">
        <f t="shared" ca="1" si="465"/>
        <v>29.680643750000002</v>
      </c>
      <c r="J470" s="612">
        <f t="shared" ca="1" si="465"/>
        <v>30.637359374999999</v>
      </c>
      <c r="K470" s="614">
        <f t="shared" ca="1" si="465"/>
        <v>20.880273412698401</v>
      </c>
      <c r="L470" s="612">
        <f t="shared" ca="1" si="465"/>
        <v>40.182327868852397</v>
      </c>
      <c r="M470" s="612">
        <f t="shared" ca="1" si="465"/>
        <v>41.841355555555602</v>
      </c>
      <c r="N470" s="612">
        <f t="shared" ca="1" si="465"/>
        <v>49.505859375</v>
      </c>
      <c r="O470" s="612">
        <f t="shared" ca="1" si="465"/>
        <v>46.879406250000002</v>
      </c>
      <c r="P470" s="614">
        <f t="shared" ca="1" si="465"/>
        <v>44.665811111111097</v>
      </c>
      <c r="Q470" s="612">
        <f t="shared" ca="1" si="465"/>
        <v>40.497278688524602</v>
      </c>
      <c r="R470" s="612">
        <f t="shared" ca="1" si="465"/>
        <v>47.435809523809503</v>
      </c>
      <c r="S470" s="612">
        <f t="shared" ca="1" si="465"/>
        <v>50.974312500000003</v>
      </c>
      <c r="T470" s="612">
        <f t="shared" ca="1" si="465"/>
        <v>44.890749999999997</v>
      </c>
      <c r="U470" s="614">
        <f t="shared" ca="1" si="465"/>
        <v>46.008547619047597</v>
      </c>
      <c r="V470" s="612">
        <f t="shared" ca="1" si="465"/>
        <v>39.4600655737705</v>
      </c>
      <c r="W470" s="613">
        <f t="shared" ca="1" si="465"/>
        <v>45.455968749999997</v>
      </c>
      <c r="X470" s="613">
        <f t="shared" ca="1" si="465"/>
        <v>43.315156250000001</v>
      </c>
      <c r="Y470" s="612">
        <f t="shared" ca="1" si="465"/>
        <v>39.426253968254002</v>
      </c>
      <c r="Z470" s="106">
        <f t="shared" ca="1" si="465"/>
        <v>41.953452380952399</v>
      </c>
      <c r="AA470" s="612">
        <f t="shared" ca="1" si="465"/>
        <v>50.756516129032299</v>
      </c>
      <c r="AB470" s="613">
        <f t="shared" ca="1" si="465"/>
        <v>66.036888888888896</v>
      </c>
      <c r="AC470" s="613">
        <f t="shared" ca="1" si="465"/>
        <v>69.217047619047605</v>
      </c>
      <c r="AD470" s="612">
        <f t="shared" ca="1" si="465"/>
        <v>65.250412698412703</v>
      </c>
      <c r="AE470" s="106">
        <f t="shared" ca="1" si="465"/>
        <v>62.863258964143398</v>
      </c>
      <c r="AF470" s="612">
        <f t="shared" ca="1" si="465"/>
        <v>65.985786885245901</v>
      </c>
      <c r="AG470" s="613">
        <f t="shared" ca="1" si="465"/>
        <v>60.967453124999999</v>
      </c>
      <c r="AH470" s="613">
        <f t="shared" ca="1" si="465"/>
        <v>62.483206349206398</v>
      </c>
      <c r="AI470" s="612">
        <f t="shared" ref="AI470:AY470" ca="1" si="466">INDEX(MO_VA_StockPrice_TradingCurrency,1,COLUMN())/INDEX(MO_VA_FX_Average,1,COLUMN())</f>
        <v>64.531158730158793</v>
      </c>
      <c r="AJ470" s="106">
        <f t="shared" ca="1" si="466"/>
        <v>63.461972111553798</v>
      </c>
      <c r="AK470" s="612">
        <f t="shared" ca="1" si="466"/>
        <v>60.2233442622951</v>
      </c>
      <c r="AL470" s="613">
        <f t="shared" ca="1" si="466"/>
        <v>46.691555555555603</v>
      </c>
      <c r="AM470" s="613">
        <f t="shared" ca="1" si="466"/>
        <v>46.9684375</v>
      </c>
      <c r="AN470" s="612">
        <f t="shared" ca="1" si="466"/>
        <v>65.07421875</v>
      </c>
      <c r="AO470" s="106">
        <f t="shared" ca="1" si="466"/>
        <v>54.706039682539597</v>
      </c>
      <c r="AP470" s="612">
        <f t="shared" ca="1" si="466"/>
        <v>124.366322580645</v>
      </c>
      <c r="AQ470" s="613">
        <f t="shared" ca="1" si="466"/>
        <v>162.29209523809499</v>
      </c>
      <c r="AR470" s="613">
        <f ca="1">INDEX(MO_VA_StockPrice_TradingCurrency,1,COLUMN())/INDEX(MO_VA_FX_Average,1,COLUMN())</f>
        <v>354.20740625000002</v>
      </c>
      <c r="AS470" s="612">
        <f ca="1">INDEX(MO_VA_StockPrice_TradingCurrency,1,COLUMN())/INDEX(MO_VA_FX_Average,1,COLUMN())</f>
        <v>511.95109374999998</v>
      </c>
      <c r="AT470" s="106">
        <f ca="1">INDEX(MO_VA_StockPrice_TradingCurrency,1,COLUMN())/INDEX(MO_VA_FX_Average,1,COLUMN())</f>
        <v>289.997067193676</v>
      </c>
      <c r="AU470" s="612">
        <f t="shared" ca="1" si="466"/>
        <v>753.18590163934402</v>
      </c>
      <c r="AV470" s="613">
        <f ca="1">INDEX(MO_VA_StockPrice_TradingCurrency,1,COLUMN())/INDEX(MO_VA_FX_Average,1,COLUMN())</f>
        <v>651.25825396825405</v>
      </c>
      <c r="AW470" s="807">
        <f ca="1">INDEX(MO_VA_StockPrice_TradingCurrency,1,COLUMN())/INDEX(MO_VA_FX_Average,1,COLUMN())</f>
        <v>706.26468750000004</v>
      </c>
      <c r="AX470" s="612">
        <f t="shared" ca="1" si="466"/>
        <v>1049.6099999999999</v>
      </c>
      <c r="AY470" s="253">
        <f t="shared" ca="1" si="466"/>
        <v>1049.6099999999999</v>
      </c>
      <c r="AZ470" s="612">
        <f t="shared" ref="AZ470:BG470" ca="1" si="467">INDEX(MO_VA_StockPrice_TradingCurrency,1,COLUMN())/INDEX(MO_VA_FX_Average,1,COLUMN())</f>
        <v>1049.6099999999999</v>
      </c>
      <c r="BA470" s="612">
        <f t="shared" ca="1" si="467"/>
        <v>1049.6099999999999</v>
      </c>
      <c r="BB470" s="612">
        <f t="shared" ca="1" si="467"/>
        <v>1049.6099999999999</v>
      </c>
      <c r="BC470" s="612">
        <f t="shared" ca="1" si="467"/>
        <v>1049.6099999999999</v>
      </c>
      <c r="BD470" s="253">
        <f t="shared" ca="1" si="467"/>
        <v>1049.6099999999999</v>
      </c>
      <c r="BE470" s="253">
        <f t="shared" ca="1" si="467"/>
        <v>1049.6099999999999</v>
      </c>
      <c r="BF470" s="253">
        <f t="shared" ca="1" si="467"/>
        <v>1049.6099999999999</v>
      </c>
      <c r="BG470" s="253">
        <f t="shared" ca="1" si="467"/>
        <v>1049.6099999999999</v>
      </c>
      <c r="BH470" s="434"/>
    </row>
    <row r="471" spans="1:60" s="109" customFormat="1" x14ac:dyDescent="0.25">
      <c r="A471" s="1024" t="str">
        <f>"Market Cap - "&amp;MO.ValuationToggle</f>
        <v>Market Cap - Avg</v>
      </c>
      <c r="B471" s="214"/>
      <c r="C471" s="1051"/>
      <c r="D471" s="1066">
        <f t="shared" ref="D471:AH471" ca="1" si="468">D429*D470</f>
        <v>1183.8525602157524</v>
      </c>
      <c r="E471" s="1066">
        <f t="shared" ca="1" si="468"/>
        <v>2690.8980640595223</v>
      </c>
      <c r="F471" s="1066">
        <f t="shared" ca="1" si="468"/>
        <v>3345.9281322060001</v>
      </c>
      <c r="G471" s="1067">
        <f t="shared" ca="1" si="468"/>
        <v>4535.289651242002</v>
      </c>
      <c r="H471" s="1067">
        <f t="shared" ca="1" si="468"/>
        <v>9823.5592886015602</v>
      </c>
      <c r="I471" s="1067">
        <f t="shared" ca="1" si="468"/>
        <v>20350.681790406252</v>
      </c>
      <c r="J471" s="1067">
        <f t="shared" ca="1" si="468"/>
        <v>21106.689620624998</v>
      </c>
      <c r="K471" s="1066">
        <f t="shared" ca="1" si="468"/>
        <v>13942.384965861103</v>
      </c>
      <c r="L471" s="1067">
        <f t="shared" ca="1" si="468"/>
        <v>28172.03098049176</v>
      </c>
      <c r="M471" s="1067">
        <f t="shared" ca="1" si="468"/>
        <v>29487.276914222253</v>
      </c>
      <c r="N471" s="1067">
        <f t="shared" ca="1" si="468"/>
        <v>35334.064541015628</v>
      </c>
      <c r="O471" s="1067">
        <f t="shared" ca="1" si="468"/>
        <v>29416.124230781254</v>
      </c>
      <c r="P471" s="1066">
        <f t="shared" ca="1" si="468"/>
        <v>31762.081610166657</v>
      </c>
      <c r="Q471" s="1067">
        <f t="shared" ca="1" si="468"/>
        <v>25502.55379491804</v>
      </c>
      <c r="R471" s="1067">
        <f t="shared" ca="1" si="468"/>
        <v>30047.918254942841</v>
      </c>
      <c r="S471" s="1067">
        <f t="shared" ca="1" si="468"/>
        <v>32879.960791875004</v>
      </c>
      <c r="T471" s="1067">
        <f t="shared" ca="1" si="468"/>
        <v>29425.886624999999</v>
      </c>
      <c r="U471" s="1066">
        <f t="shared" ca="1" si="468"/>
        <v>29491.9391092857</v>
      </c>
      <c r="V471" s="1067">
        <f t="shared" ca="1" si="468"/>
        <v>26177.018300327869</v>
      </c>
      <c r="W471" s="1068">
        <f t="shared" ca="1" si="468"/>
        <v>31815.314367656247</v>
      </c>
      <c r="X471" s="1068">
        <f t="shared" ca="1" si="468"/>
        <v>32267.842224218752</v>
      </c>
      <c r="Y471" s="1067">
        <f t="shared" ca="1" si="468"/>
        <v>30560.077975873042</v>
      </c>
      <c r="Z471" s="1066">
        <f t="shared" ca="1" si="468"/>
        <v>30250.956373809535</v>
      </c>
      <c r="AA471" s="1067">
        <f t="shared" ca="1" si="468"/>
        <v>41145.516017419388</v>
      </c>
      <c r="AB471" s="1068">
        <f t="shared" ca="1" si="468"/>
        <v>54550.432435555558</v>
      </c>
      <c r="AC471" s="1068">
        <f t="shared" ca="1" si="468"/>
        <v>57897.983821904752</v>
      </c>
      <c r="AD471" s="1067">
        <f t="shared" ca="1" si="468"/>
        <v>54912.789814603173</v>
      </c>
      <c r="AE471" s="1066">
        <f t="shared" ca="1" si="468"/>
        <v>52100.440396892409</v>
      </c>
      <c r="AF471" s="1067">
        <f t="shared" ca="1" si="468"/>
        <v>55806.159542459012</v>
      </c>
      <c r="AG471" s="1068">
        <f t="shared" ca="1" si="468"/>
        <v>51821.42064445313</v>
      </c>
      <c r="AH471" s="1068">
        <f t="shared" ca="1" si="468"/>
        <v>55671.287193015916</v>
      </c>
      <c r="AI471" s="1067">
        <f t="shared" ref="AI471:AY471" ca="1" si="469">AI429*AI470</f>
        <v>57763.776114127046</v>
      </c>
      <c r="AJ471" s="1066">
        <f t="shared" ca="1" si="469"/>
        <v>54109.26397161356</v>
      </c>
      <c r="AK471" s="1067">
        <f t="shared" ca="1" si="469"/>
        <v>52089.880502950837</v>
      </c>
      <c r="AL471" s="1068">
        <f t="shared" ca="1" si="469"/>
        <v>41241.250275555598</v>
      </c>
      <c r="AM471" s="1068">
        <f t="shared" ca="1" si="469"/>
        <v>43210.962500000001</v>
      </c>
      <c r="AN471" s="1067">
        <f t="shared" ca="1" si="469"/>
        <v>60844.39453125</v>
      </c>
      <c r="AO471" s="1066">
        <f t="shared" ca="1" si="469"/>
        <v>48414.845119047546</v>
      </c>
      <c r="AP471" s="1067">
        <f t="shared" ca="1" si="469"/>
        <v>123744.49096774177</v>
      </c>
      <c r="AQ471" s="1068">
        <f t="shared" ca="1" si="469"/>
        <v>167972.3185714283</v>
      </c>
      <c r="AR471" s="1068">
        <f ca="1">AR429*AR470</f>
        <v>391399.18390624999</v>
      </c>
      <c r="AS471" s="1067">
        <f ca="1">AS429*AS470</f>
        <v>575433.02937499993</v>
      </c>
      <c r="AT471" s="1066">
        <f ca="1">AT429*AT470</f>
        <v>314066.82377075113</v>
      </c>
      <c r="AU471" s="1067">
        <f t="shared" ref="AU471" ca="1" si="470">AU429*AU470</f>
        <v>853359.62655737682</v>
      </c>
      <c r="AV471" s="1068">
        <f ca="1">AV429*AV470</f>
        <v>728757.98619047634</v>
      </c>
      <c r="AW471" s="1069">
        <f ca="1">AW429*AW470</f>
        <v>793135.24406250007</v>
      </c>
      <c r="AX471" s="1067">
        <f t="shared" ca="1" si="469"/>
        <v>1178712.0299999998</v>
      </c>
      <c r="AY471" s="1051">
        <f t="shared" ca="1" si="469"/>
        <v>1180286.4449999998</v>
      </c>
      <c r="AZ471" s="1067">
        <f t="shared" ref="AZ471:BG471" ca="1" si="471">AZ429*AZ470</f>
        <v>1178712.0299999998</v>
      </c>
      <c r="BA471" s="1067">
        <f t="shared" ca="1" si="471"/>
        <v>1178712.0299999998</v>
      </c>
      <c r="BB471" s="1067">
        <f t="shared" ca="1" si="471"/>
        <v>1178712.0299999998</v>
      </c>
      <c r="BC471" s="1067">
        <f t="shared" ca="1" si="471"/>
        <v>1178712.0299999998</v>
      </c>
      <c r="BD471" s="1051">
        <f t="shared" ca="1" si="471"/>
        <v>1178712.0299999998</v>
      </c>
      <c r="BE471" s="1051">
        <f t="shared" ca="1" si="471"/>
        <v>1178712.0299999998</v>
      </c>
      <c r="BF471" s="1051">
        <f t="shared" ca="1" si="471"/>
        <v>1178712.0299999998</v>
      </c>
      <c r="BG471" s="1051">
        <f t="shared" ca="1" si="471"/>
        <v>1178712.0299999998</v>
      </c>
      <c r="BH471" s="1024"/>
    </row>
    <row r="472" spans="1:60" s="109" customFormat="1" x14ac:dyDescent="0.25">
      <c r="A472" s="1024" t="str">
        <f>"Enterprise Value - "&amp;MO.ValuationToggle</f>
        <v>Enterprise Value - Avg</v>
      </c>
      <c r="B472" s="214"/>
      <c r="C472" s="1051"/>
      <c r="D472" s="1066">
        <f t="shared" ref="D472:AH472" ca="1" si="472">D456+D471+D488+D489+D490</f>
        <v>1089.3885602157525</v>
      </c>
      <c r="E472" s="1066">
        <f t="shared" ca="1" si="472"/>
        <v>2676.0810640595223</v>
      </c>
      <c r="F472" s="1066">
        <f t="shared" ca="1" si="472"/>
        <v>3602.3021322060004</v>
      </c>
      <c r="G472" s="1067">
        <f t="shared" ca="1" si="472"/>
        <v>4759.6916512420021</v>
      </c>
      <c r="H472" s="1067">
        <f t="shared" ca="1" si="472"/>
        <v>9669.8242886015596</v>
      </c>
      <c r="I472" s="1067">
        <f t="shared" ca="1" si="472"/>
        <v>20231.202790406252</v>
      </c>
      <c r="J472" s="1067">
        <f t="shared" ca="1" si="472"/>
        <v>20864.666620624997</v>
      </c>
      <c r="K472" s="1066">
        <f t="shared" ca="1" si="472"/>
        <v>13700.361965861104</v>
      </c>
      <c r="L472" s="1067">
        <f t="shared" ca="1" si="472"/>
        <v>27788.715980491761</v>
      </c>
      <c r="M472" s="1067">
        <f t="shared" ca="1" si="472"/>
        <v>29251.270914222252</v>
      </c>
      <c r="N472" s="1067">
        <f t="shared" ca="1" si="472"/>
        <v>35414.818541015629</v>
      </c>
      <c r="O472" s="1067">
        <f t="shared" ca="1" si="472"/>
        <v>29980.544230781255</v>
      </c>
      <c r="P472" s="1066">
        <f t="shared" ca="1" si="472"/>
        <v>32326.501610166655</v>
      </c>
      <c r="Q472" s="1067">
        <f t="shared" ca="1" si="472"/>
        <v>26556.330794918042</v>
      </c>
      <c r="R472" s="1067">
        <f t="shared" ca="1" si="472"/>
        <v>31564.545254942841</v>
      </c>
      <c r="S472" s="1067">
        <f t="shared" ca="1" si="472"/>
        <v>34108.085791875004</v>
      </c>
      <c r="T472" s="1067">
        <f t="shared" ca="1" si="472"/>
        <v>30921.936624999998</v>
      </c>
      <c r="U472" s="1066">
        <f t="shared" ca="1" si="472"/>
        <v>30987.9891092857</v>
      </c>
      <c r="V472" s="1067">
        <f t="shared" ca="1" si="472"/>
        <v>27873.48930032787</v>
      </c>
      <c r="W472" s="1068">
        <f t="shared" ca="1" si="472"/>
        <v>31828.462367656248</v>
      </c>
      <c r="X472" s="1068">
        <f t="shared" ca="1" si="472"/>
        <v>31875.335224218754</v>
      </c>
      <c r="Y472" s="1067">
        <f t="shared" ca="1" si="472"/>
        <v>35341.987975873046</v>
      </c>
      <c r="Z472" s="1066">
        <f t="shared" ca="1" si="472"/>
        <v>35032.866373809535</v>
      </c>
      <c r="AA472" s="1067">
        <f t="shared" ca="1" si="472"/>
        <v>46392.798017419387</v>
      </c>
      <c r="AB472" s="1068">
        <f t="shared" ca="1" si="472"/>
        <v>60816.029435555552</v>
      </c>
      <c r="AC472" s="1068">
        <f t="shared" ca="1" si="472"/>
        <v>65704.63082190475</v>
      </c>
      <c r="AD472" s="1067">
        <f t="shared" ca="1" si="472"/>
        <v>63099.47081460317</v>
      </c>
      <c r="AE472" s="1066">
        <f t="shared" ca="1" si="472"/>
        <v>60287.121396892406</v>
      </c>
      <c r="AF472" s="1067">
        <f t="shared" ca="1" si="472"/>
        <v>65051.661542459013</v>
      </c>
      <c r="AG472" s="1068">
        <f t="shared" ca="1" si="472"/>
        <v>62415.341644453132</v>
      </c>
      <c r="AH472" s="1068">
        <f t="shared" ca="1" si="472"/>
        <v>65668.938193015914</v>
      </c>
      <c r="AI472" s="1067">
        <f t="shared" ref="AI472:AY472" ca="1" si="473">AI456+AI471+AI488+AI489+AI490</f>
        <v>67247.339114127055</v>
      </c>
      <c r="AJ472" s="1066">
        <f t="shared" ca="1" si="473"/>
        <v>63592.826971613562</v>
      </c>
      <c r="AK472" s="1067">
        <f t="shared" ca="1" si="473"/>
        <v>62686.732502950836</v>
      </c>
      <c r="AL472" s="1068">
        <f t="shared" ca="1" si="473"/>
        <v>50619.058275555595</v>
      </c>
      <c r="AM472" s="1068">
        <f t="shared" ca="1" si="473"/>
        <v>52424.962500000001</v>
      </c>
      <c r="AN472" s="1067">
        <f t="shared" ca="1" si="473"/>
        <v>69241.39453125</v>
      </c>
      <c r="AO472" s="1066">
        <f t="shared" ca="1" si="473"/>
        <v>56811.845119047546</v>
      </c>
      <c r="AP472" s="1067">
        <f t="shared" ca="1" si="473"/>
        <v>130913.49096774177</v>
      </c>
      <c r="AQ472" s="1068">
        <f t="shared" ca="1" si="473"/>
        <v>174775.3185714283</v>
      </c>
      <c r="AR472" s="1068">
        <f ca="1">AR456+AR471+AR488+AR489+AR490</f>
        <v>391896.18390624999</v>
      </c>
      <c r="AS472" s="1067">
        <f ca="1">AS456+AS471+AS488+AS489+AS490</f>
        <v>569004.02937499993</v>
      </c>
      <c r="AT472" s="1066">
        <f ca="1">AT456+AT471+AT488+AT489+AT490</f>
        <v>307637.82377075113</v>
      </c>
      <c r="AU472" s="1067">
        <f t="shared" ref="AU472" ca="1" si="474">AU456+AU471+AU488+AU489+AU490</f>
        <v>848233.62655737682</v>
      </c>
      <c r="AV472" s="1068">
        <f ca="1">AV456+AV471+AV488+AV489+AV490</f>
        <v>723049.98619047634</v>
      </c>
      <c r="AW472" s="1069">
        <f ca="1">AW456+AW471+AW488+AW489+AW490</f>
        <v>786308.24406250007</v>
      </c>
      <c r="AX472" s="1067">
        <f t="shared" ca="1" si="473"/>
        <v>1170734.9594425103</v>
      </c>
      <c r="AY472" s="1051">
        <f t="shared" ca="1" si="473"/>
        <v>1172309.3744425103</v>
      </c>
      <c r="AZ472" s="1067">
        <f t="shared" ref="AZ472:BG472" ca="1" si="475">AZ456+AZ471+AZ488+AZ489+AZ490</f>
        <v>1168431.9983600269</v>
      </c>
      <c r="BA472" s="1067">
        <f t="shared" ca="1" si="475"/>
        <v>1165589.1680457008</v>
      </c>
      <c r="BB472" s="1067">
        <f t="shared" ca="1" si="475"/>
        <v>1159935.2060881644</v>
      </c>
      <c r="BC472" s="1067">
        <f t="shared" ca="1" si="475"/>
        <v>1157121.8108737632</v>
      </c>
      <c r="BD472" s="1051">
        <f t="shared" ca="1" si="475"/>
        <v>1157121.8108737632</v>
      </c>
      <c r="BE472" s="1051">
        <f t="shared" ca="1" si="475"/>
        <v>1144771.5114960291</v>
      </c>
      <c r="BF472" s="1051">
        <f t="shared" ca="1" si="475"/>
        <v>1128232.1954110537</v>
      </c>
      <c r="BG472" s="1051">
        <f t="shared" ca="1" si="475"/>
        <v>1106780.2248457537</v>
      </c>
      <c r="BH472" s="1024"/>
    </row>
    <row r="473" spans="1:60" s="125" customFormat="1" x14ac:dyDescent="0.25">
      <c r="A473" s="675"/>
      <c r="B473" s="676"/>
      <c r="C473" s="257"/>
      <c r="D473" s="257"/>
      <c r="E473" s="257"/>
      <c r="F473" s="257"/>
      <c r="G473" s="631"/>
      <c r="H473" s="631"/>
      <c r="I473" s="631"/>
      <c r="J473" s="631"/>
      <c r="K473" s="257"/>
      <c r="L473" s="631"/>
      <c r="M473" s="631"/>
      <c r="N473" s="631"/>
      <c r="O473" s="631"/>
      <c r="P473" s="257"/>
      <c r="Q473" s="631"/>
      <c r="R473" s="631"/>
      <c r="S473" s="631"/>
      <c r="T473" s="631"/>
      <c r="U473" s="257"/>
      <c r="V473" s="631"/>
      <c r="W473" s="677"/>
      <c r="X473" s="677"/>
      <c r="Y473" s="677"/>
      <c r="Z473" s="257"/>
      <c r="AA473" s="677"/>
      <c r="AB473" s="677"/>
      <c r="AC473" s="677"/>
      <c r="AD473" s="677"/>
      <c r="AE473" s="257"/>
      <c r="AF473" s="677"/>
      <c r="AG473" s="677"/>
      <c r="AH473" s="677"/>
      <c r="AI473" s="677"/>
      <c r="AJ473" s="257"/>
      <c r="AK473" s="677"/>
      <c r="AL473" s="677"/>
      <c r="AM473" s="677"/>
      <c r="AN473" s="677"/>
      <c r="AO473" s="257"/>
      <c r="AP473" s="677"/>
      <c r="AQ473" s="677"/>
      <c r="AR473" s="677"/>
      <c r="AS473" s="677"/>
      <c r="AT473" s="257"/>
      <c r="AU473" s="677"/>
      <c r="AV473" s="677"/>
      <c r="AW473" s="743"/>
      <c r="AX473" s="677"/>
      <c r="AY473" s="257"/>
      <c r="AZ473" s="677"/>
      <c r="BA473" s="677"/>
      <c r="BB473" s="677"/>
      <c r="BC473" s="677"/>
      <c r="BD473" s="257"/>
      <c r="BE473" s="257"/>
      <c r="BF473" s="257"/>
      <c r="BG473" s="257"/>
      <c r="BH473" s="378"/>
    </row>
    <row r="474" spans="1:60" s="125" customFormat="1" x14ac:dyDescent="0.25">
      <c r="A474" s="232" t="str">
        <f>"P/E - "&amp;MO.ValuationToggle</f>
        <v>P/E - Avg</v>
      </c>
      <c r="B474" s="676"/>
      <c r="C474" s="257"/>
      <c r="D474" s="173">
        <f ca="1">D470/D424</f>
        <v>-9.2380223192801587</v>
      </c>
      <c r="E474" s="173">
        <f ca="1">E470/E424</f>
        <v>-12.107963679500376</v>
      </c>
      <c r="F474" s="173">
        <f ca="1">F470/F424</f>
        <v>-9.7204882201363105</v>
      </c>
      <c r="G474" s="631"/>
      <c r="H474" s="631"/>
      <c r="I474" s="631"/>
      <c r="J474" s="631"/>
      <c r="K474" s="173">
        <f ca="1">K470/K424</f>
        <v>134.62838653039807</v>
      </c>
      <c r="L474" s="631"/>
      <c r="M474" s="631"/>
      <c r="N474" s="631"/>
      <c r="O474" s="631"/>
      <c r="P474" s="173">
        <f ca="1">P470/P424</f>
        <v>1580.1244520255725</v>
      </c>
      <c r="Q474" s="631"/>
      <c r="R474" s="631"/>
      <c r="S474" s="631"/>
      <c r="T474" s="631"/>
      <c r="U474" s="173">
        <f ca="1">U470/U424</f>
        <v>-100.01776770301768</v>
      </c>
      <c r="V474" s="631"/>
      <c r="W474" s="677"/>
      <c r="X474" s="677"/>
      <c r="Y474" s="677"/>
      <c r="Z474" s="173">
        <f ca="1">Z470/Z424</f>
        <v>-73.139018671763651</v>
      </c>
      <c r="AA474" s="677"/>
      <c r="AB474" s="677"/>
      <c r="AC474" s="677"/>
      <c r="AD474" s="677"/>
      <c r="AE474" s="173">
        <f ca="1">AE470/AE424</f>
        <v>-36.259070186730852</v>
      </c>
      <c r="AF474" s="677"/>
      <c r="AG474" s="677"/>
      <c r="AH474" s="677"/>
      <c r="AI474" s="677"/>
      <c r="AJ474" s="173">
        <f ca="1">AJ470/AJ424</f>
        <v>-238.29646743742458</v>
      </c>
      <c r="AK474" s="677"/>
      <c r="AL474" s="677"/>
      <c r="AM474" s="677"/>
      <c r="AN474" s="677"/>
      <c r="AO474" s="173">
        <f ca="1">AO470/AO424</f>
        <v>1729.1016113945552</v>
      </c>
      <c r="AP474" s="677"/>
      <c r="AQ474" s="677"/>
      <c r="AR474" s="677"/>
      <c r="AS474" s="677"/>
      <c r="AT474" s="173">
        <f ca="1">AT470/AT424</f>
        <v>129.56552135757059</v>
      </c>
      <c r="AU474" s="677"/>
      <c r="AV474" s="677"/>
      <c r="AW474" s="743"/>
      <c r="AX474" s="677"/>
      <c r="AY474" s="257">
        <f ca="1">AY470/AY424</f>
        <v>171.42012265239879</v>
      </c>
      <c r="AZ474" s="677"/>
      <c r="BA474" s="677"/>
      <c r="BB474" s="677"/>
      <c r="BC474" s="677"/>
      <c r="BD474" s="257">
        <f ca="1">BD470/BD424</f>
        <v>87.703554249791466</v>
      </c>
      <c r="BE474" s="257">
        <f ca="1">BE470/BE424</f>
        <v>72.458784283468702</v>
      </c>
      <c r="BF474" s="257">
        <f ca="1">BF470/BF424</f>
        <v>61.430702196904484</v>
      </c>
      <c r="BG474" s="257">
        <f ca="1">BG470/BG424</f>
        <v>49.888438996306512</v>
      </c>
      <c r="BH474" s="378"/>
    </row>
    <row r="475" spans="1:60" s="125" customFormat="1" x14ac:dyDescent="0.25">
      <c r="A475" s="232" t="str">
        <f>"EV/Sales - "&amp;MO.ValuationToggle</f>
        <v>EV/Sales - Avg</v>
      </c>
      <c r="B475" s="676"/>
      <c r="C475" s="257"/>
      <c r="D475" s="173">
        <f ca="1">D472/D381</f>
        <v>9.331430824845409</v>
      </c>
      <c r="E475" s="173">
        <f ca="1">E472/E381</f>
        <v>13.102501268394953</v>
      </c>
      <c r="F475" s="173">
        <f ca="1">F472/F381</f>
        <v>8.7168779938004537</v>
      </c>
      <c r="G475" s="631"/>
      <c r="H475" s="631"/>
      <c r="I475" s="631"/>
      <c r="J475" s="631"/>
      <c r="K475" s="173">
        <f ca="1">K472/K381</f>
        <v>6.8042657973301681</v>
      </c>
      <c r="L475" s="631"/>
      <c r="M475" s="631"/>
      <c r="N475" s="631"/>
      <c r="O475" s="631"/>
      <c r="P475" s="173">
        <f ca="1">P472/P381</f>
        <v>10.10722433968159</v>
      </c>
      <c r="Q475" s="631"/>
      <c r="R475" s="631"/>
      <c r="S475" s="631"/>
      <c r="T475" s="631"/>
      <c r="U475" s="173">
        <f ca="1">U472/U381</f>
        <v>7.6588723770331866</v>
      </c>
      <c r="V475" s="631"/>
      <c r="W475" s="677"/>
      <c r="X475" s="677"/>
      <c r="Y475" s="677"/>
      <c r="Z475" s="173">
        <f ca="1">Z472/Z381</f>
        <v>5.0046008237858279</v>
      </c>
      <c r="AA475" s="677"/>
      <c r="AB475" s="677"/>
      <c r="AC475" s="677"/>
      <c r="AD475" s="677"/>
      <c r="AE475" s="173">
        <f ca="1">AE472/AE381</f>
        <v>5.1270004269069398</v>
      </c>
      <c r="AF475" s="677"/>
      <c r="AG475" s="677"/>
      <c r="AH475" s="677"/>
      <c r="AI475" s="677"/>
      <c r="AJ475" s="173">
        <f ca="1">AJ472/AJ381</f>
        <v>2.9631439750723749</v>
      </c>
      <c r="AK475" s="677"/>
      <c r="AL475" s="677"/>
      <c r="AM475" s="677"/>
      <c r="AN475" s="677"/>
      <c r="AO475" s="173">
        <f ca="1">AO472/AO381</f>
        <v>2.3114917861114632</v>
      </c>
      <c r="AP475" s="677"/>
      <c r="AQ475" s="677"/>
      <c r="AR475" s="677"/>
      <c r="AS475" s="677"/>
      <c r="AT475" s="173">
        <f ca="1">AT472/AT381</f>
        <v>9.7551313981085475</v>
      </c>
      <c r="AU475" s="677"/>
      <c r="AV475" s="677"/>
      <c r="AW475" s="743"/>
      <c r="AX475" s="677"/>
      <c r="AY475" s="257">
        <f ca="1">AY472/AY381</f>
        <v>22.117771606763949</v>
      </c>
      <c r="AZ475" s="677"/>
      <c r="BA475" s="677"/>
      <c r="BB475" s="677"/>
      <c r="BC475" s="677"/>
      <c r="BD475" s="257">
        <f ca="1">BD472/BD381</f>
        <v>10.432069398207673</v>
      </c>
      <c r="BE475" s="257">
        <f ca="1">BE472/BE381</f>
        <v>8.3710130670563121</v>
      </c>
      <c r="BF475" s="257">
        <f ca="1">BF472/BF381</f>
        <v>6.7325053575639453</v>
      </c>
      <c r="BG475" s="257">
        <f ca="1">BG472/BG381</f>
        <v>5.3868013587441617</v>
      </c>
      <c r="BH475" s="378"/>
    </row>
    <row r="476" spans="1:60" s="125" customFormat="1" x14ac:dyDescent="0.25">
      <c r="A476" s="232" t="str">
        <f>"EV/EBITDA - "&amp;MO.ValuationToggle</f>
        <v>EV/EBITDA - Avg</v>
      </c>
      <c r="B476" s="676"/>
      <c r="C476" s="257"/>
      <c r="D476" s="173">
        <f ca="1">D472/D397</f>
        <v>-9.4680864618652389</v>
      </c>
      <c r="E476" s="173">
        <f ca="1">E472/E397</f>
        <v>-13.044509208186804</v>
      </c>
      <c r="F476" s="173">
        <f ca="1">F472/F397</f>
        <v>-11.424527793671686</v>
      </c>
      <c r="G476" s="631"/>
      <c r="H476" s="631"/>
      <c r="I476" s="631"/>
      <c r="J476" s="631"/>
      <c r="K476" s="173">
        <f ca="1">K472/K397</f>
        <v>98.19358652175319</v>
      </c>
      <c r="L476" s="631"/>
      <c r="M476" s="631"/>
      <c r="N476" s="631"/>
      <c r="O476" s="631"/>
      <c r="P476" s="173">
        <f ca="1">P472/P397</f>
        <v>160.240022257416</v>
      </c>
      <c r="Q476" s="631"/>
      <c r="R476" s="631"/>
      <c r="S476" s="631"/>
      <c r="T476" s="631"/>
      <c r="U476" s="173">
        <f ca="1">U472/U397</f>
        <v>-322.65711275807695</v>
      </c>
      <c r="V476" s="631"/>
      <c r="W476" s="677"/>
      <c r="X476" s="677"/>
      <c r="Y476" s="677"/>
      <c r="Z476" s="173">
        <f ca="1">Z472/Z397</f>
        <v>57.058272485617806</v>
      </c>
      <c r="AA476" s="677"/>
      <c r="AB476" s="677"/>
      <c r="AC476" s="677"/>
      <c r="AD476" s="677"/>
      <c r="AE476" s="173">
        <f ca="1">AE472/AE397</f>
        <v>128.0859727517859</v>
      </c>
      <c r="AF476" s="677"/>
      <c r="AG476" s="677"/>
      <c r="AH476" s="677"/>
      <c r="AI476" s="677"/>
      <c r="AJ476" s="173">
        <f ca="1">AJ472/AJ397</f>
        <v>28.11352734663404</v>
      </c>
      <c r="AK476" s="677"/>
      <c r="AL476" s="677"/>
      <c r="AM476" s="677"/>
      <c r="AN476" s="677"/>
      <c r="AO476" s="173">
        <f ca="1">AO472/AO397</f>
        <v>19.045204532030688</v>
      </c>
      <c r="AP476" s="677"/>
      <c r="AQ476" s="677"/>
      <c r="AR476" s="677"/>
      <c r="AS476" s="677"/>
      <c r="AT476" s="173">
        <f ca="1">AT472/AT397</f>
        <v>50.849227069545641</v>
      </c>
      <c r="AU476" s="677"/>
      <c r="AV476" s="677"/>
      <c r="AW476" s="743"/>
      <c r="AX476" s="677"/>
      <c r="AY476" s="257">
        <f ca="1">AY472/AY397</f>
        <v>106.41561064055384</v>
      </c>
      <c r="AZ476" s="677"/>
      <c r="BA476" s="677"/>
      <c r="BB476" s="677"/>
      <c r="BC476" s="677"/>
      <c r="BD476" s="257">
        <f ca="1">BD472/BD397</f>
        <v>55.052976995394815</v>
      </c>
      <c r="BE476" s="257">
        <f ca="1">BE472/BE397</f>
        <v>45.442850661247455</v>
      </c>
      <c r="BF476" s="257">
        <f ca="1">BF472/BF397</f>
        <v>37.337850789113936</v>
      </c>
      <c r="BG476" s="257">
        <f ca="1">BG472/BG397</f>
        <v>30.66487360107033</v>
      </c>
      <c r="BH476" s="378"/>
    </row>
    <row r="477" spans="1:60" s="125" customFormat="1" x14ac:dyDescent="0.25">
      <c r="A477" s="232" t="str">
        <f>"P/CF - "&amp;MO.ValuationToggle</f>
        <v>P/CF - Avg</v>
      </c>
      <c r="B477" s="676"/>
      <c r="C477" s="257"/>
      <c r="D477" s="173">
        <f ca="1">D470/D433</f>
        <v>-10.155896645869813</v>
      </c>
      <c r="E477" s="173">
        <f ca="1">E470/E433</f>
        <v>-13.238569255736548</v>
      </c>
      <c r="F477" s="173">
        <f ca="1">F470/F433</f>
        <v>-10.831751803839428</v>
      </c>
      <c r="G477" s="631"/>
      <c r="H477" s="631"/>
      <c r="I477" s="631"/>
      <c r="J477" s="631"/>
      <c r="K477" s="173">
        <f ca="1">K470/K433</f>
        <v>107.62318643793725</v>
      </c>
      <c r="L477" s="631"/>
      <c r="M477" s="631"/>
      <c r="N477" s="631"/>
      <c r="O477" s="631"/>
      <c r="P477" s="173">
        <f ca="1">P470/P433</f>
        <v>139.4228086392832</v>
      </c>
      <c r="Q477" s="631"/>
      <c r="R477" s="631"/>
      <c r="S477" s="631"/>
      <c r="T477" s="631"/>
      <c r="U477" s="173">
        <f ca="1">U470/U433</f>
        <v>-944.9515895317403</v>
      </c>
      <c r="V477" s="631"/>
      <c r="W477" s="677"/>
      <c r="X477" s="677"/>
      <c r="Y477" s="677"/>
      <c r="Z477" s="173">
        <f ca="1">Z470/Z433</f>
        <v>53.068873982179127</v>
      </c>
      <c r="AA477" s="677"/>
      <c r="AB477" s="677"/>
      <c r="AC477" s="677"/>
      <c r="AD477" s="677"/>
      <c r="AE477" s="173">
        <f ca="1">AE470/AE433</f>
        <v>119.51040235645091</v>
      </c>
      <c r="AF477" s="677"/>
      <c r="AG477" s="677"/>
      <c r="AH477" s="677"/>
      <c r="AI477" s="677"/>
      <c r="AJ477" s="173">
        <f ca="1">AJ470/AJ433</f>
        <v>26.526086450242477</v>
      </c>
      <c r="AK477" s="677"/>
      <c r="AL477" s="677"/>
      <c r="AM477" s="677"/>
      <c r="AN477" s="677"/>
      <c r="AO477" s="173">
        <f ca="1">AO470/AO433</f>
        <v>17.579827566829174</v>
      </c>
      <c r="AP477" s="677"/>
      <c r="AQ477" s="677"/>
      <c r="AR477" s="677"/>
      <c r="AS477" s="677"/>
      <c r="AT477" s="173">
        <f ca="1">AT470/AT433</f>
        <v>54.53495811264996</v>
      </c>
      <c r="AU477" s="677"/>
      <c r="AV477" s="677"/>
      <c r="AW477" s="743"/>
      <c r="AX477" s="677"/>
      <c r="AY477" s="257">
        <f ca="1">AY470/AY433</f>
        <v>116.49768505729386</v>
      </c>
      <c r="AZ477" s="677"/>
      <c r="BA477" s="677"/>
      <c r="BB477" s="677"/>
      <c r="BC477" s="677"/>
      <c r="BD477" s="257">
        <f ca="1">BD470/BD433</f>
        <v>68.590590171962205</v>
      </c>
      <c r="BE477" s="257">
        <f ca="1">BE470/BE433</f>
        <v>57.386588862664922</v>
      </c>
      <c r="BF477" s="257">
        <f ca="1">BF470/BF433</f>
        <v>47.916664417552845</v>
      </c>
      <c r="BG477" s="257">
        <f ca="1">BG470/BG433</f>
        <v>40.193795070874437</v>
      </c>
      <c r="BH477" s="378"/>
    </row>
    <row r="478" spans="1:60" s="115" customFormat="1" x14ac:dyDescent="0.25">
      <c r="A478" s="94" t="str">
        <f>"FCF Yield % to "&amp;MO.ValuationToggle&amp;" Market Cap"</f>
        <v>FCF Yield % to Avg Market Cap</v>
      </c>
      <c r="B478" s="235"/>
      <c r="C478" s="98"/>
      <c r="D478" s="95">
        <f t="shared" ref="D478:F479" ca="1" si="476">D$446/D471</f>
        <v>-0.13242442958558043</v>
      </c>
      <c r="E478" s="95">
        <f t="shared" ca="1" si="476"/>
        <v>-0.14399950900237027</v>
      </c>
      <c r="F478" s="95">
        <f t="shared" ca="1" si="476"/>
        <v>-0.16381941821285159</v>
      </c>
      <c r="G478" s="160"/>
      <c r="H478" s="160"/>
      <c r="I478" s="160"/>
      <c r="J478" s="160"/>
      <c r="K478" s="95">
        <f ca="1">K$446/K471</f>
        <v>-1.0642225154685788E-2</v>
      </c>
      <c r="L478" s="160"/>
      <c r="M478" s="160"/>
      <c r="N478" s="160"/>
      <c r="O478" s="160"/>
      <c r="P478" s="95">
        <f ca="1">P$446/P471</f>
        <v>-2.4255242759448271E-2</v>
      </c>
      <c r="Q478" s="160"/>
      <c r="R478" s="160"/>
      <c r="S478" s="160"/>
      <c r="T478" s="160"/>
      <c r="U478" s="95">
        <f ca="1">U$446/U471</f>
        <v>-5.6492046651331645E-2</v>
      </c>
      <c r="V478" s="160"/>
      <c r="W478" s="160"/>
      <c r="X478" s="160"/>
      <c r="Y478" s="160"/>
      <c r="Z478" s="95">
        <f ca="1">Z$446/Z471</f>
        <v>-2.8773933268225617E-2</v>
      </c>
      <c r="AA478" s="160"/>
      <c r="AB478" s="160"/>
      <c r="AC478" s="160"/>
      <c r="AD478" s="160"/>
      <c r="AE478" s="95">
        <f ca="1">AE$446/AE471</f>
        <v>-6.9968794356245673E-2</v>
      </c>
      <c r="AF478" s="160"/>
      <c r="AG478" s="160"/>
      <c r="AH478" s="160"/>
      <c r="AI478" s="160"/>
      <c r="AJ478" s="95">
        <f ca="1">AJ$446/AJ471</f>
        <v>-5.1685234555531269E-3</v>
      </c>
      <c r="AK478" s="160"/>
      <c r="AL478" s="160"/>
      <c r="AM478" s="160"/>
      <c r="AN478" s="160"/>
      <c r="AO478" s="95">
        <f ca="1">AO$446/AO471</f>
        <v>2.720240035389189E-2</v>
      </c>
      <c r="AP478" s="160"/>
      <c r="AQ478" s="160"/>
      <c r="AR478" s="160"/>
      <c r="AS478" s="160"/>
      <c r="AT478" s="95">
        <f ca="1">AT$446/AT471</f>
        <v>8.014218024624117E-3</v>
      </c>
      <c r="AU478" s="160"/>
      <c r="AV478" s="160"/>
      <c r="AW478" s="731"/>
      <c r="AX478" s="160"/>
      <c r="AY478" s="98">
        <f ca="1">AY$446/AY471</f>
        <v>3.5850750103495464E-3</v>
      </c>
      <c r="AZ478" s="160"/>
      <c r="BA478" s="160"/>
      <c r="BB478" s="160"/>
      <c r="BC478" s="160"/>
      <c r="BD478" s="98">
        <f ca="1">BD$446/BD471</f>
        <v>9.4889574778434828E-3</v>
      </c>
      <c r="BE478" s="98">
        <f ca="1">BE446/BE471</f>
        <v>1.2335372355938321E-2</v>
      </c>
      <c r="BF478" s="98">
        <f ca="1">BF446/BF471</f>
        <v>1.5779264369811377E-2</v>
      </c>
      <c r="BG478" s="98">
        <f ca="1">BG446/BG471</f>
        <v>1.9789160244954238E-2</v>
      </c>
      <c r="BH478" s="366"/>
    </row>
    <row r="479" spans="1:60" s="115" customFormat="1" x14ac:dyDescent="0.25">
      <c r="A479" s="94" t="str">
        <f>"FCF Yield % to "&amp;MO.ValuationToggle&amp;" Enterprise Value"</f>
        <v>FCF Yield % to Avg Enterprise Value</v>
      </c>
      <c r="B479" s="235"/>
      <c r="C479" s="98"/>
      <c r="D479" s="95">
        <f t="shared" ca="1" si="476"/>
        <v>-0.14390733088747659</v>
      </c>
      <c r="E479" s="95">
        <f t="shared" ca="1" si="476"/>
        <v>-0.1447968094853577</v>
      </c>
      <c r="F479" s="95">
        <f t="shared" ca="1" si="476"/>
        <v>-0.15216047402007729</v>
      </c>
      <c r="G479" s="160"/>
      <c r="H479" s="160"/>
      <c r="I479" s="160"/>
      <c r="J479" s="160"/>
      <c r="K479" s="95">
        <f ca="1">K$446/K472</f>
        <v>-1.0830224804989233E-2</v>
      </c>
      <c r="L479" s="160"/>
      <c r="M479" s="160"/>
      <c r="N479" s="160"/>
      <c r="O479" s="160"/>
      <c r="P479" s="95">
        <f ca="1">P$446/P472</f>
        <v>-2.3831746759683727E-2</v>
      </c>
      <c r="Q479" s="160"/>
      <c r="R479" s="160"/>
      <c r="S479" s="160"/>
      <c r="T479" s="160"/>
      <c r="U479" s="95">
        <f ca="1">U$446/U472</f>
        <v>-5.376470199870946E-2</v>
      </c>
      <c r="V479" s="160"/>
      <c r="W479" s="160"/>
      <c r="X479" s="160"/>
      <c r="Y479" s="160"/>
      <c r="Z479" s="95">
        <f ca="1">Z$446/Z472</f>
        <v>-2.4846354012606219E-2</v>
      </c>
      <c r="AA479" s="160"/>
      <c r="AB479" s="160"/>
      <c r="AC479" s="160"/>
      <c r="AD479" s="160"/>
      <c r="AE479" s="95">
        <f ca="1">AE$446/AE472</f>
        <v>-6.0467391965871968E-2</v>
      </c>
      <c r="AF479" s="160"/>
      <c r="AG479" s="160"/>
      <c r="AH479" s="160"/>
      <c r="AI479" s="160"/>
      <c r="AJ479" s="95">
        <f ca="1">AJ$446/AJ472</f>
        <v>-4.3977444205277544E-3</v>
      </c>
      <c r="AK479" s="160"/>
      <c r="AL479" s="160"/>
      <c r="AM479" s="160"/>
      <c r="AN479" s="160"/>
      <c r="AO479" s="95">
        <f ca="1">AO$446/AO472</f>
        <v>2.3181785369587368E-2</v>
      </c>
      <c r="AP479" s="160"/>
      <c r="AQ479" s="160"/>
      <c r="AR479" s="160"/>
      <c r="AS479" s="160"/>
      <c r="AT479" s="95">
        <f ca="1">AT$446/AT472</f>
        <v>8.1816987558579433E-3</v>
      </c>
      <c r="AU479" s="160"/>
      <c r="AV479" s="160"/>
      <c r="AW479" s="731"/>
      <c r="AX479" s="160"/>
      <c r="AY479" s="98">
        <f ca="1">AY$446/AY472</f>
        <v>3.6094699328289904E-3</v>
      </c>
      <c r="AZ479" s="160"/>
      <c r="BA479" s="160"/>
      <c r="BB479" s="160"/>
      <c r="BC479" s="160"/>
      <c r="BD479" s="98">
        <f ca="1">BD$446/BD472</f>
        <v>9.6660076978816664E-3</v>
      </c>
      <c r="BE479" s="98">
        <f ca="1">BE446/BE472</f>
        <v>1.2701095060858678E-2</v>
      </c>
      <c r="BF479" s="98">
        <f ca="1">BF446/BF472</f>
        <v>1.6485266785416192E-2</v>
      </c>
      <c r="BG479" s="98">
        <f ca="1">BG446/BG472</f>
        <v>2.1075296360283349E-2</v>
      </c>
      <c r="BH479" s="366"/>
    </row>
    <row r="480" spans="1:60" s="115" customFormat="1" hidden="1" outlineLevel="1" x14ac:dyDescent="0.25">
      <c r="A480" s="678"/>
      <c r="B480" s="235"/>
      <c r="C480" s="98"/>
      <c r="D480" s="98"/>
      <c r="E480" s="98"/>
      <c r="F480" s="98"/>
      <c r="G480" s="160"/>
      <c r="H480" s="160"/>
      <c r="I480" s="160"/>
      <c r="J480" s="160"/>
      <c r="K480" s="98"/>
      <c r="L480" s="160"/>
      <c r="M480" s="160"/>
      <c r="N480" s="160"/>
      <c r="O480" s="160"/>
      <c r="P480" s="98"/>
      <c r="Q480" s="160"/>
      <c r="R480" s="160"/>
      <c r="S480" s="160"/>
      <c r="T480" s="160"/>
      <c r="U480" s="98"/>
      <c r="V480" s="160"/>
      <c r="W480" s="160"/>
      <c r="X480" s="160"/>
      <c r="Y480" s="160"/>
      <c r="Z480" s="98"/>
      <c r="AA480" s="160"/>
      <c r="AB480" s="160"/>
      <c r="AC480" s="160"/>
      <c r="AD480" s="160"/>
      <c r="AE480" s="98"/>
      <c r="AF480" s="160"/>
      <c r="AG480" s="160"/>
      <c r="AH480" s="160"/>
      <c r="AI480" s="160"/>
      <c r="AJ480" s="98"/>
      <c r="AK480" s="160"/>
      <c r="AL480" s="160"/>
      <c r="AM480" s="160"/>
      <c r="AN480" s="160"/>
      <c r="AO480" s="98"/>
      <c r="AP480" s="160"/>
      <c r="AQ480" s="160"/>
      <c r="AR480" s="160"/>
      <c r="AS480" s="160"/>
      <c r="AT480" s="98"/>
      <c r="AU480" s="160"/>
      <c r="AV480" s="160"/>
      <c r="AW480" s="731"/>
      <c r="AX480" s="160"/>
      <c r="AY480" s="98"/>
      <c r="AZ480" s="160"/>
      <c r="BA480" s="160"/>
      <c r="BB480" s="160"/>
      <c r="BC480" s="160"/>
      <c r="BD480" s="98"/>
      <c r="BE480" s="98"/>
      <c r="BF480" s="98"/>
      <c r="BG480" s="98"/>
      <c r="BH480" s="366"/>
    </row>
    <row r="481" spans="1:60" s="415" customFormat="1" hidden="1" outlineLevel="1" x14ac:dyDescent="0.25">
      <c r="A481" s="421" t="str">
        <f ca="1">"Stock High, "&amp;HP.TradeCurrency</f>
        <v>Stock High, USD</v>
      </c>
      <c r="B481" s="679"/>
      <c r="C481" s="422">
        <f t="shared" ref="C481:AH481" ca="1" si="477">IF(INDEX(MO_SNA_IsHistoricalPeriod,1,COLUMN())=FALSE,0,INDEX(MO_SPT_StockHigh,1,COLUMN()))</f>
        <v>0</v>
      </c>
      <c r="D481" s="422">
        <f t="shared" ca="1" si="477"/>
        <v>7.0940000000000003</v>
      </c>
      <c r="E481" s="422">
        <f t="shared" ca="1" si="477"/>
        <v>6.9880000000000004</v>
      </c>
      <c r="F481" s="422">
        <f t="shared" ca="1" si="477"/>
        <v>7.6020000000000003</v>
      </c>
      <c r="G481" s="423">
        <f t="shared" ca="1" si="477"/>
        <v>7.8959999999999999</v>
      </c>
      <c r="H481" s="423">
        <f t="shared" ca="1" si="477"/>
        <v>22.066800000000001</v>
      </c>
      <c r="I481" s="423">
        <f t="shared" ca="1" si="477"/>
        <v>38.673999999999999</v>
      </c>
      <c r="J481" s="423">
        <f t="shared" ca="1" si="477"/>
        <v>38.6</v>
      </c>
      <c r="K481" s="422">
        <f t="shared" ca="1" si="477"/>
        <v>38.673999999999999</v>
      </c>
      <c r="L481" s="423">
        <f t="shared" ca="1" si="477"/>
        <v>50.968000000000004</v>
      </c>
      <c r="M481" s="423">
        <f t="shared" ca="1" si="477"/>
        <v>48.012</v>
      </c>
      <c r="N481" s="423">
        <f t="shared" ca="1" si="477"/>
        <v>57.207999999999998</v>
      </c>
      <c r="O481" s="423">
        <f t="shared" ca="1" si="477"/>
        <v>52.124000000000002</v>
      </c>
      <c r="P481" s="422">
        <f t="shared" ca="1" si="477"/>
        <v>57.207999999999998</v>
      </c>
      <c r="Q481" s="423">
        <f t="shared" ca="1" si="477"/>
        <v>44.198</v>
      </c>
      <c r="R481" s="423">
        <f t="shared" ca="1" si="477"/>
        <v>53.758000000000003</v>
      </c>
      <c r="S481" s="423">
        <f t="shared" ca="1" si="477"/>
        <v>56.451999999999998</v>
      </c>
      <c r="T481" s="423">
        <f t="shared" ca="1" si="477"/>
        <v>49.514000000000003</v>
      </c>
      <c r="U481" s="422">
        <f t="shared" ca="1" si="477"/>
        <v>56.451999999999998</v>
      </c>
      <c r="V481" s="423">
        <f t="shared" ca="1" si="477"/>
        <v>47.664000000000001</v>
      </c>
      <c r="W481" s="424">
        <f t="shared" ca="1" si="477"/>
        <v>53.084000000000003</v>
      </c>
      <c r="X481" s="424">
        <f t="shared" ca="1" si="477"/>
        <v>46.957999999999998</v>
      </c>
      <c r="Y481" s="423">
        <f t="shared" ca="1" si="477"/>
        <v>43.948</v>
      </c>
      <c r="Z481" s="425">
        <f t="shared" ca="1" si="477"/>
        <v>53.084000000000003</v>
      </c>
      <c r="AA481" s="423">
        <f t="shared" ca="1" si="477"/>
        <v>56.195999999999998</v>
      </c>
      <c r="AB481" s="424">
        <f t="shared" ca="1" si="477"/>
        <v>76.69</v>
      </c>
      <c r="AC481" s="424">
        <f t="shared" ca="1" si="477"/>
        <v>77</v>
      </c>
      <c r="AD481" s="423">
        <f t="shared" ca="1" si="477"/>
        <v>71.930000000000007</v>
      </c>
      <c r="AE481" s="425">
        <f t="shared" ca="1" si="477"/>
        <v>77</v>
      </c>
      <c r="AF481" s="423">
        <f t="shared" ca="1" si="477"/>
        <v>71.483999999999995</v>
      </c>
      <c r="AG481" s="424">
        <f t="shared" ca="1" si="477"/>
        <v>74.165999999999997</v>
      </c>
      <c r="AH481" s="424">
        <f t="shared" ca="1" si="477"/>
        <v>75.914000000000001</v>
      </c>
      <c r="AI481" s="423">
        <f t="shared" ref="AI481:AY481" ca="1" si="478">IF(INDEX(MO_SNA_IsHistoricalPeriod,1,COLUMN())=FALSE,0,INDEX(MO_SPT_StockHigh,1,COLUMN()))</f>
        <v>75.358000000000004</v>
      </c>
      <c r="AJ481" s="425">
        <f t="shared" ca="1" si="478"/>
        <v>75.914000000000001</v>
      </c>
      <c r="AK481" s="423">
        <f t="shared" ca="1" si="478"/>
        <v>69.462000000000003</v>
      </c>
      <c r="AL481" s="424">
        <f t="shared" ca="1" si="478"/>
        <v>58.362000000000002</v>
      </c>
      <c r="AM481" s="424">
        <f t="shared" ca="1" si="478"/>
        <v>52.975999999999999</v>
      </c>
      <c r="AN481" s="423">
        <f t="shared" ca="1" si="478"/>
        <v>86.188000000000002</v>
      </c>
      <c r="AO481" s="425">
        <f t="shared" ca="1" si="478"/>
        <v>86.188000000000002</v>
      </c>
      <c r="AP481" s="423">
        <f t="shared" ca="1" si="478"/>
        <v>183.48400000000001</v>
      </c>
      <c r="AQ481" s="424">
        <f t="shared" ca="1" si="478"/>
        <v>215.96199999999999</v>
      </c>
      <c r="AR481" s="424">
        <f ca="1">IF(INDEX(MO_SNA_IsHistoricalPeriod,1,COLUMN())=FALSE,0,INDEX(MO_SPT_StockHigh,1,COLUMN()))</f>
        <v>498.32</v>
      </c>
      <c r="AS481" s="423">
        <f ca="1">IF(INDEX(MO_SNA_IsHistoricalPeriod,1,COLUMN())=FALSE,0,INDEX(MO_SPT_StockHigh,1,COLUMN()))</f>
        <v>705.67</v>
      </c>
      <c r="AT481" s="425">
        <f ca="1">IF(INDEX(MO_SNA_IsHistoricalPeriod,1,COLUMN())=FALSE,0,INDEX(MO_SPT_StockHigh,1,COLUMN()))</f>
        <v>705.67</v>
      </c>
      <c r="AU481" s="423">
        <f t="shared" ca="1" si="478"/>
        <v>883.09</v>
      </c>
      <c r="AV481" s="424">
        <f ca="1">IF(INDEX(MO_SNA_IsHistoricalPeriod,1,COLUMN())=FALSE,0,INDEX(MO_SPT_StockHigh,1,COLUMN()))</f>
        <v>762.32</v>
      </c>
      <c r="AW481" s="808">
        <f ca="1">IF(INDEX(MO_SNA_IsHistoricalPeriod,1,COLUMN())=FALSE,0,INDEX(MO_SPT_StockHigh,1,COLUMN()))</f>
        <v>791.36</v>
      </c>
      <c r="AX481" s="423">
        <f t="shared" si="478"/>
        <v>0</v>
      </c>
      <c r="AY481" s="426">
        <f t="shared" si="478"/>
        <v>0</v>
      </c>
      <c r="AZ481" s="423">
        <f t="shared" ref="AZ481:BG481" si="479">IF(INDEX(MO_SNA_IsHistoricalPeriod,1,COLUMN())=FALSE,0,INDEX(MO_SPT_StockHigh,1,COLUMN()))</f>
        <v>0</v>
      </c>
      <c r="BA481" s="423">
        <f t="shared" si="479"/>
        <v>0</v>
      </c>
      <c r="BB481" s="423">
        <f t="shared" si="479"/>
        <v>0</v>
      </c>
      <c r="BC481" s="423">
        <f t="shared" si="479"/>
        <v>0</v>
      </c>
      <c r="BD481" s="426">
        <f t="shared" si="479"/>
        <v>0</v>
      </c>
      <c r="BE481" s="426">
        <f t="shared" si="479"/>
        <v>0</v>
      </c>
      <c r="BF481" s="426">
        <f t="shared" si="479"/>
        <v>0</v>
      </c>
      <c r="BG481" s="426">
        <f t="shared" si="479"/>
        <v>0</v>
      </c>
      <c r="BH481" s="414"/>
    </row>
    <row r="482" spans="1:60" s="415" customFormat="1" hidden="1" outlineLevel="1" x14ac:dyDescent="0.25">
      <c r="A482" s="421" t="str">
        <f ca="1">"Stock Low, "&amp;HP.TradeCurrency</f>
        <v>Stock Low, USD</v>
      </c>
      <c r="B482" s="679"/>
      <c r="C482" s="422">
        <f t="shared" ref="C482:AH482" ca="1" si="480">IF(INDEX(MO_SNA_IsHistoricalPeriod,1,COLUMN())=FALSE,0,INDEX(MO_SPT_StockLow,1,COLUMN()))</f>
        <v>0</v>
      </c>
      <c r="D482" s="422">
        <f t="shared" ca="1" si="480"/>
        <v>3.16</v>
      </c>
      <c r="E482" s="422">
        <f t="shared" ca="1" si="480"/>
        <v>4.3659999999999997</v>
      </c>
      <c r="F482" s="422">
        <f t="shared" ca="1" si="480"/>
        <v>4.5579999999999998</v>
      </c>
      <c r="G482" s="423">
        <f t="shared" ca="1" si="480"/>
        <v>6.5819999999999999</v>
      </c>
      <c r="H482" s="423">
        <f t="shared" ca="1" si="480"/>
        <v>8.1</v>
      </c>
      <c r="I482" s="423">
        <f t="shared" ca="1" si="480"/>
        <v>21.81</v>
      </c>
      <c r="J482" s="423">
        <f t="shared" ca="1" si="480"/>
        <v>24.1</v>
      </c>
      <c r="K482" s="422">
        <f t="shared" ca="1" si="480"/>
        <v>6.5819999999999999</v>
      </c>
      <c r="L482" s="423">
        <f t="shared" ca="1" si="480"/>
        <v>27.867999999999999</v>
      </c>
      <c r="M482" s="423">
        <f t="shared" ca="1" si="480"/>
        <v>35.718000000000004</v>
      </c>
      <c r="N482" s="423">
        <f t="shared" ca="1" si="480"/>
        <v>43.08</v>
      </c>
      <c r="O482" s="423">
        <f t="shared" ca="1" si="480"/>
        <v>39.561999999999998</v>
      </c>
      <c r="P482" s="422">
        <f t="shared" ca="1" si="480"/>
        <v>27.867999999999999</v>
      </c>
      <c r="Q482" s="423">
        <f t="shared" ca="1" si="480"/>
        <v>37</v>
      </c>
      <c r="R482" s="423">
        <f t="shared" ca="1" si="480"/>
        <v>37.518000000000001</v>
      </c>
      <c r="S482" s="423">
        <f t="shared" ca="1" si="480"/>
        <v>43.774000000000001</v>
      </c>
      <c r="T482" s="423">
        <f t="shared" ca="1" si="480"/>
        <v>41.386000000000003</v>
      </c>
      <c r="U482" s="422">
        <f t="shared" ca="1" si="480"/>
        <v>37</v>
      </c>
      <c r="V482" s="423">
        <f t="shared" ca="1" si="480"/>
        <v>28.734000000000002</v>
      </c>
      <c r="W482" s="424">
        <f t="shared" ca="1" si="480"/>
        <v>38.630000000000003</v>
      </c>
      <c r="X482" s="424">
        <f t="shared" ca="1" si="480"/>
        <v>38.893999999999998</v>
      </c>
      <c r="Y482" s="423">
        <f t="shared" ca="1" si="480"/>
        <v>36.29</v>
      </c>
      <c r="Z482" s="425">
        <f t="shared" ca="1" si="480"/>
        <v>28.734000000000002</v>
      </c>
      <c r="AA482" s="423">
        <f t="shared" ca="1" si="480"/>
        <v>43.398000000000003</v>
      </c>
      <c r="AB482" s="424">
        <f t="shared" ca="1" si="480"/>
        <v>59</v>
      </c>
      <c r="AC482" s="424">
        <f t="shared" ca="1" si="480"/>
        <v>61.765999999999998</v>
      </c>
      <c r="AD482" s="423">
        <f t="shared" ca="1" si="480"/>
        <v>59.851999999999997</v>
      </c>
      <c r="AE482" s="425">
        <f t="shared" ca="1" si="480"/>
        <v>43.398000000000003</v>
      </c>
      <c r="AF482" s="423">
        <f t="shared" ca="1" si="480"/>
        <v>51.555999999999997</v>
      </c>
      <c r="AG482" s="424">
        <f t="shared" ca="1" si="480"/>
        <v>50.496000000000002</v>
      </c>
      <c r="AH482" s="424">
        <f t="shared" ca="1" si="480"/>
        <v>52.648000000000003</v>
      </c>
      <c r="AI482" s="423">
        <f t="shared" ref="AI482:AY482" ca="1" si="481">IF(INDEX(MO_SNA_IsHistoricalPeriod,1,COLUMN())=FALSE,0,INDEX(MO_SPT_StockLow,1,COLUMN()))</f>
        <v>50.112000000000002</v>
      </c>
      <c r="AJ482" s="425">
        <f t="shared" ca="1" si="481"/>
        <v>50.112000000000002</v>
      </c>
      <c r="AK482" s="423">
        <f t="shared" ca="1" si="481"/>
        <v>52.084000000000003</v>
      </c>
      <c r="AL482" s="424">
        <f t="shared" ca="1" si="481"/>
        <v>35.793999999999997</v>
      </c>
      <c r="AM482" s="424">
        <f t="shared" ca="1" si="481"/>
        <v>42.28</v>
      </c>
      <c r="AN482" s="423">
        <f t="shared" ca="1" si="481"/>
        <v>46.286000000000001</v>
      </c>
      <c r="AO482" s="425">
        <f t="shared" ca="1" si="481"/>
        <v>35.793999999999997</v>
      </c>
      <c r="AP482" s="423">
        <f t="shared" ca="1" si="481"/>
        <v>72.244</v>
      </c>
      <c r="AQ482" s="424">
        <f t="shared" ca="1" si="481"/>
        <v>90.894000000000005</v>
      </c>
      <c r="AR482" s="424">
        <f ca="1">IF(INDEX(MO_SNA_IsHistoricalPeriod,1,COLUMN())=FALSE,0,INDEX(MO_SPT_StockLow,1,COLUMN()))</f>
        <v>223.92599999999999</v>
      </c>
      <c r="AS482" s="423">
        <f ca="1">IF(INDEX(MO_SNA_IsHistoricalPeriod,1,COLUMN())=FALSE,0,INDEX(MO_SPT_StockLow,1,COLUMN()))</f>
        <v>388.04</v>
      </c>
      <c r="AT482" s="425">
        <f ca="1">IF(INDEX(MO_SNA_IsHistoricalPeriod,1,COLUMN())=FALSE,0,INDEX(MO_SPT_StockLow,1,COLUMN()))</f>
        <v>72.244</v>
      </c>
      <c r="AU482" s="423">
        <f t="shared" ca="1" si="481"/>
        <v>563</v>
      </c>
      <c r="AV482" s="424">
        <f ca="1">IF(INDEX(MO_SNA_IsHistoricalPeriod,1,COLUMN())=FALSE,0,INDEX(MO_SPT_StockLow,1,COLUMN()))</f>
        <v>563.46</v>
      </c>
      <c r="AW482" s="808">
        <f ca="1">IF(INDEX(MO_SNA_IsHistoricalPeriod,1,COLUMN())=FALSE,0,INDEX(MO_SPT_StockLow,1,COLUMN()))</f>
        <v>643.38</v>
      </c>
      <c r="AX482" s="423">
        <f t="shared" si="481"/>
        <v>0</v>
      </c>
      <c r="AY482" s="426">
        <f t="shared" si="481"/>
        <v>0</v>
      </c>
      <c r="AZ482" s="423">
        <f t="shared" ref="AZ482:BG482" si="482">IF(INDEX(MO_SNA_IsHistoricalPeriod,1,COLUMN())=FALSE,0,INDEX(MO_SPT_StockLow,1,COLUMN()))</f>
        <v>0</v>
      </c>
      <c r="BA482" s="423">
        <f t="shared" si="482"/>
        <v>0</v>
      </c>
      <c r="BB482" s="423">
        <f t="shared" si="482"/>
        <v>0</v>
      </c>
      <c r="BC482" s="423">
        <f t="shared" si="482"/>
        <v>0</v>
      </c>
      <c r="BD482" s="426">
        <f t="shared" si="482"/>
        <v>0</v>
      </c>
      <c r="BE482" s="426">
        <f t="shared" si="482"/>
        <v>0</v>
      </c>
      <c r="BF482" s="426">
        <f t="shared" si="482"/>
        <v>0</v>
      </c>
      <c r="BG482" s="426">
        <f t="shared" si="482"/>
        <v>0</v>
      </c>
      <c r="BH482" s="414"/>
    </row>
    <row r="483" spans="1:60" s="415" customFormat="1" hidden="1" outlineLevel="1" x14ac:dyDescent="0.25">
      <c r="A483" s="421" t="str">
        <f ca="1">"Stock Average, "&amp;HP.TradeCurrency</f>
        <v>Stock Average, USD</v>
      </c>
      <c r="B483" s="679"/>
      <c r="C483" s="422">
        <f t="shared" ref="C483:AH483" ca="1" si="483">IF(INDEX(MO_SNA_IsHistoricalPeriod,1,COLUMN())=FALSE,0,INDEX(MO_SPT_StockAverage,1,COLUMN()))</f>
        <v>0</v>
      </c>
      <c r="D483" s="422">
        <f t="shared" ca="1" si="483"/>
        <v>4.6683446153846102</v>
      </c>
      <c r="E483" s="422">
        <f t="shared" ca="1" si="483"/>
        <v>5.3609420634920602</v>
      </c>
      <c r="F483" s="422">
        <f t="shared" ca="1" si="483"/>
        <v>6.2337388000000002</v>
      </c>
      <c r="G483" s="423">
        <f t="shared" ca="1" si="483"/>
        <v>7.2993666666666703</v>
      </c>
      <c r="H483" s="423">
        <f t="shared" ca="1" si="483"/>
        <v>15.054917187499999</v>
      </c>
      <c r="I483" s="423">
        <f t="shared" ca="1" si="483"/>
        <v>29.680643750000002</v>
      </c>
      <c r="J483" s="423">
        <f t="shared" ca="1" si="483"/>
        <v>30.637359374999999</v>
      </c>
      <c r="K483" s="422">
        <f t="shared" ca="1" si="483"/>
        <v>20.880273412698401</v>
      </c>
      <c r="L483" s="423">
        <f t="shared" ca="1" si="483"/>
        <v>40.182327868852397</v>
      </c>
      <c r="M483" s="423">
        <f t="shared" ca="1" si="483"/>
        <v>41.841355555555602</v>
      </c>
      <c r="N483" s="423">
        <f t="shared" ca="1" si="483"/>
        <v>49.505859375</v>
      </c>
      <c r="O483" s="423">
        <f t="shared" ca="1" si="483"/>
        <v>46.879406250000002</v>
      </c>
      <c r="P483" s="422">
        <f t="shared" ca="1" si="483"/>
        <v>44.665811111111097</v>
      </c>
      <c r="Q483" s="423">
        <f t="shared" ca="1" si="483"/>
        <v>40.497278688524602</v>
      </c>
      <c r="R483" s="423">
        <f t="shared" ca="1" si="483"/>
        <v>47.435809523809503</v>
      </c>
      <c r="S483" s="423">
        <f t="shared" ca="1" si="483"/>
        <v>50.974312500000003</v>
      </c>
      <c r="T483" s="423">
        <f t="shared" ca="1" si="483"/>
        <v>44.890749999999997</v>
      </c>
      <c r="U483" s="422">
        <f t="shared" ca="1" si="483"/>
        <v>46.008547619047597</v>
      </c>
      <c r="V483" s="423">
        <f t="shared" ca="1" si="483"/>
        <v>39.4600655737705</v>
      </c>
      <c r="W483" s="424">
        <f t="shared" ca="1" si="483"/>
        <v>45.455968749999997</v>
      </c>
      <c r="X483" s="424">
        <f t="shared" ca="1" si="483"/>
        <v>43.315156250000001</v>
      </c>
      <c r="Y483" s="423">
        <f t="shared" ca="1" si="483"/>
        <v>39.426253968254002</v>
      </c>
      <c r="Z483" s="425">
        <f t="shared" ca="1" si="483"/>
        <v>41.953452380952399</v>
      </c>
      <c r="AA483" s="423">
        <f t="shared" ca="1" si="483"/>
        <v>50.756516129032299</v>
      </c>
      <c r="AB483" s="424">
        <f t="shared" ca="1" si="483"/>
        <v>66.036888888888896</v>
      </c>
      <c r="AC483" s="424">
        <f t="shared" ca="1" si="483"/>
        <v>69.217047619047605</v>
      </c>
      <c r="AD483" s="423">
        <f t="shared" ca="1" si="483"/>
        <v>65.250412698412703</v>
      </c>
      <c r="AE483" s="425">
        <f t="shared" ca="1" si="483"/>
        <v>62.863258964143398</v>
      </c>
      <c r="AF483" s="423">
        <f t="shared" ca="1" si="483"/>
        <v>65.985786885245901</v>
      </c>
      <c r="AG483" s="424">
        <f t="shared" ca="1" si="483"/>
        <v>60.967453124999999</v>
      </c>
      <c r="AH483" s="424">
        <f t="shared" ca="1" si="483"/>
        <v>62.483206349206398</v>
      </c>
      <c r="AI483" s="423">
        <f t="shared" ref="AI483:AY483" ca="1" si="484">IF(INDEX(MO_SNA_IsHistoricalPeriod,1,COLUMN())=FALSE,0,INDEX(MO_SPT_StockAverage,1,COLUMN()))</f>
        <v>64.531158730158793</v>
      </c>
      <c r="AJ483" s="425">
        <f t="shared" ca="1" si="484"/>
        <v>63.461972111553798</v>
      </c>
      <c r="AK483" s="423">
        <f t="shared" ca="1" si="484"/>
        <v>60.2233442622951</v>
      </c>
      <c r="AL483" s="424">
        <f t="shared" ca="1" si="484"/>
        <v>46.691555555555603</v>
      </c>
      <c r="AM483" s="424">
        <f t="shared" ca="1" si="484"/>
        <v>46.9684375</v>
      </c>
      <c r="AN483" s="423">
        <f t="shared" ca="1" si="484"/>
        <v>65.07421875</v>
      </c>
      <c r="AO483" s="425">
        <f t="shared" ca="1" si="484"/>
        <v>54.706039682539597</v>
      </c>
      <c r="AP483" s="423">
        <f t="shared" ca="1" si="484"/>
        <v>124.366322580645</v>
      </c>
      <c r="AQ483" s="424">
        <f t="shared" ca="1" si="484"/>
        <v>162.29209523809499</v>
      </c>
      <c r="AR483" s="424">
        <f ca="1">IF(INDEX(MO_SNA_IsHistoricalPeriod,1,COLUMN())=FALSE,0,INDEX(MO_SPT_StockAverage,1,COLUMN()))</f>
        <v>354.20740625000002</v>
      </c>
      <c r="AS483" s="423">
        <f ca="1">IF(INDEX(MO_SNA_IsHistoricalPeriod,1,COLUMN())=FALSE,0,INDEX(MO_SPT_StockAverage,1,COLUMN()))</f>
        <v>511.95109374999998</v>
      </c>
      <c r="AT483" s="425">
        <f ca="1">IF(INDEX(MO_SNA_IsHistoricalPeriod,1,COLUMN())=FALSE,0,INDEX(MO_SPT_StockAverage,1,COLUMN()))</f>
        <v>289.997067193676</v>
      </c>
      <c r="AU483" s="423">
        <f t="shared" ca="1" si="484"/>
        <v>753.18590163934402</v>
      </c>
      <c r="AV483" s="424">
        <f ca="1">IF(INDEX(MO_SNA_IsHistoricalPeriod,1,COLUMN())=FALSE,0,INDEX(MO_SPT_StockAverage,1,COLUMN()))</f>
        <v>651.25825396825405</v>
      </c>
      <c r="AW483" s="808">
        <f ca="1">IF(INDEX(MO_SNA_IsHistoricalPeriod,1,COLUMN())=FALSE,0,INDEX(MO_SPT_StockAverage,1,COLUMN()))</f>
        <v>706.26468750000004</v>
      </c>
      <c r="AX483" s="423">
        <f t="shared" si="484"/>
        <v>0</v>
      </c>
      <c r="AY483" s="426">
        <f t="shared" si="484"/>
        <v>0</v>
      </c>
      <c r="AZ483" s="423">
        <f t="shared" ref="AZ483:BG483" si="485">IF(INDEX(MO_SNA_IsHistoricalPeriod,1,COLUMN())=FALSE,0,INDEX(MO_SPT_StockAverage,1,COLUMN()))</f>
        <v>0</v>
      </c>
      <c r="BA483" s="423">
        <f t="shared" si="485"/>
        <v>0</v>
      </c>
      <c r="BB483" s="423">
        <f t="shared" si="485"/>
        <v>0</v>
      </c>
      <c r="BC483" s="423">
        <f t="shared" si="485"/>
        <v>0</v>
      </c>
      <c r="BD483" s="426">
        <f t="shared" si="485"/>
        <v>0</v>
      </c>
      <c r="BE483" s="426">
        <f t="shared" si="485"/>
        <v>0</v>
      </c>
      <c r="BF483" s="426">
        <f t="shared" si="485"/>
        <v>0</v>
      </c>
      <c r="BG483" s="426">
        <f t="shared" si="485"/>
        <v>0</v>
      </c>
      <c r="BH483" s="414"/>
    </row>
    <row r="484" spans="1:60" s="419" customFormat="1" hidden="1" outlineLevel="1" x14ac:dyDescent="0.25">
      <c r="A484" s="427" t="str">
        <f ca="1">"Average FX Rate, "&amp;HP.TradeCurrency&amp;"/"&amp;MO.ReportCurrency</f>
        <v>Average FX Rate, USD/USD</v>
      </c>
      <c r="B484" s="680"/>
      <c r="C484" s="428">
        <f t="shared" ref="C484:AH484" ca="1" si="486">IF(INDEX(MO_SPT_FXAverage,1,COLUMN())=0,1,INDEX(MO_SPT_FXAverage,1,COLUMN()))</f>
        <v>1</v>
      </c>
      <c r="D484" s="428">
        <f t="shared" ca="1" si="486"/>
        <v>1</v>
      </c>
      <c r="E484" s="428">
        <f t="shared" ca="1" si="486"/>
        <v>1</v>
      </c>
      <c r="F484" s="428">
        <f t="shared" ca="1" si="486"/>
        <v>1</v>
      </c>
      <c r="G484" s="429">
        <f t="shared" ca="1" si="486"/>
        <v>1</v>
      </c>
      <c r="H484" s="429">
        <f t="shared" ca="1" si="486"/>
        <v>1</v>
      </c>
      <c r="I484" s="429">
        <f t="shared" ca="1" si="486"/>
        <v>1</v>
      </c>
      <c r="J484" s="429">
        <f t="shared" ca="1" si="486"/>
        <v>1</v>
      </c>
      <c r="K484" s="428">
        <f t="shared" ca="1" si="486"/>
        <v>1</v>
      </c>
      <c r="L484" s="429">
        <f t="shared" ca="1" si="486"/>
        <v>1</v>
      </c>
      <c r="M484" s="429">
        <f t="shared" ca="1" si="486"/>
        <v>1</v>
      </c>
      <c r="N484" s="429">
        <f t="shared" ca="1" si="486"/>
        <v>1</v>
      </c>
      <c r="O484" s="429">
        <f t="shared" ca="1" si="486"/>
        <v>1</v>
      </c>
      <c r="P484" s="428">
        <f t="shared" ca="1" si="486"/>
        <v>1</v>
      </c>
      <c r="Q484" s="429">
        <f t="shared" ca="1" si="486"/>
        <v>1</v>
      </c>
      <c r="R484" s="429">
        <f t="shared" ca="1" si="486"/>
        <v>1</v>
      </c>
      <c r="S484" s="429">
        <f t="shared" ca="1" si="486"/>
        <v>1</v>
      </c>
      <c r="T484" s="429">
        <f t="shared" ca="1" si="486"/>
        <v>1</v>
      </c>
      <c r="U484" s="428">
        <f t="shared" ca="1" si="486"/>
        <v>1</v>
      </c>
      <c r="V484" s="429">
        <f t="shared" ca="1" si="486"/>
        <v>1</v>
      </c>
      <c r="W484" s="430">
        <f t="shared" ca="1" si="486"/>
        <v>1</v>
      </c>
      <c r="X484" s="430">
        <f t="shared" ca="1" si="486"/>
        <v>1</v>
      </c>
      <c r="Y484" s="429">
        <f t="shared" ca="1" si="486"/>
        <v>1</v>
      </c>
      <c r="Z484" s="431">
        <f t="shared" ca="1" si="486"/>
        <v>1</v>
      </c>
      <c r="AA484" s="429">
        <f t="shared" ca="1" si="486"/>
        <v>1</v>
      </c>
      <c r="AB484" s="430">
        <f t="shared" ca="1" si="486"/>
        <v>1</v>
      </c>
      <c r="AC484" s="430">
        <f t="shared" ca="1" si="486"/>
        <v>1</v>
      </c>
      <c r="AD484" s="429">
        <f t="shared" ca="1" si="486"/>
        <v>1</v>
      </c>
      <c r="AE484" s="431">
        <f t="shared" ca="1" si="486"/>
        <v>1</v>
      </c>
      <c r="AF484" s="429">
        <f t="shared" ca="1" si="486"/>
        <v>1</v>
      </c>
      <c r="AG484" s="430">
        <f t="shared" ca="1" si="486"/>
        <v>1</v>
      </c>
      <c r="AH484" s="430">
        <f t="shared" ca="1" si="486"/>
        <v>1</v>
      </c>
      <c r="AI484" s="429">
        <f t="shared" ref="AI484:AY484" ca="1" si="487">IF(INDEX(MO_SPT_FXAverage,1,COLUMN())=0,1,INDEX(MO_SPT_FXAverage,1,COLUMN()))</f>
        <v>1</v>
      </c>
      <c r="AJ484" s="431">
        <f t="shared" ca="1" si="487"/>
        <v>1</v>
      </c>
      <c r="AK484" s="429">
        <f t="shared" ca="1" si="487"/>
        <v>1</v>
      </c>
      <c r="AL484" s="430">
        <f t="shared" ca="1" si="487"/>
        <v>1</v>
      </c>
      <c r="AM484" s="430">
        <f t="shared" ca="1" si="487"/>
        <v>1</v>
      </c>
      <c r="AN484" s="429">
        <f t="shared" ca="1" si="487"/>
        <v>1</v>
      </c>
      <c r="AO484" s="431">
        <f t="shared" ca="1" si="487"/>
        <v>1</v>
      </c>
      <c r="AP484" s="429">
        <f t="shared" ca="1" si="487"/>
        <v>1</v>
      </c>
      <c r="AQ484" s="430">
        <f t="shared" ca="1" si="487"/>
        <v>1</v>
      </c>
      <c r="AR484" s="430">
        <f ca="1">IF(INDEX(MO_SPT_FXAverage,1,COLUMN())=0,1,INDEX(MO_SPT_FXAverage,1,COLUMN()))</f>
        <v>1</v>
      </c>
      <c r="AS484" s="429">
        <f ca="1">IF(INDEX(MO_SPT_FXAverage,1,COLUMN())=0,1,INDEX(MO_SPT_FXAverage,1,COLUMN()))</f>
        <v>1</v>
      </c>
      <c r="AT484" s="431">
        <f ca="1">IF(INDEX(MO_SPT_FXAverage,1,COLUMN())=0,1,INDEX(MO_SPT_FXAverage,1,COLUMN()))</f>
        <v>1</v>
      </c>
      <c r="AU484" s="429">
        <f t="shared" ca="1" si="487"/>
        <v>1</v>
      </c>
      <c r="AV484" s="430">
        <f ca="1">IF(INDEX(MO_SPT_FXAverage,1,COLUMN())=0,1,INDEX(MO_SPT_FXAverage,1,COLUMN()))</f>
        <v>1</v>
      </c>
      <c r="AW484" s="809">
        <f ca="1">IF(INDEX(MO_SPT_FXAverage,1,COLUMN())=0,1,INDEX(MO_SPT_FXAverage,1,COLUMN()))</f>
        <v>1</v>
      </c>
      <c r="AX484" s="429">
        <f t="shared" ca="1" si="487"/>
        <v>1</v>
      </c>
      <c r="AY484" s="432">
        <f t="shared" ca="1" si="487"/>
        <v>1</v>
      </c>
      <c r="AZ484" s="429">
        <f t="shared" ref="AZ484:BG484" ca="1" si="488">IF(INDEX(MO_SPT_FXAverage,1,COLUMN())=0,1,INDEX(MO_SPT_FXAverage,1,COLUMN()))</f>
        <v>1</v>
      </c>
      <c r="BA484" s="429">
        <f t="shared" ca="1" si="488"/>
        <v>1</v>
      </c>
      <c r="BB484" s="429">
        <f t="shared" ca="1" si="488"/>
        <v>1</v>
      </c>
      <c r="BC484" s="429">
        <f t="shared" ca="1" si="488"/>
        <v>1</v>
      </c>
      <c r="BD484" s="432">
        <f t="shared" ca="1" si="488"/>
        <v>1</v>
      </c>
      <c r="BE484" s="432">
        <f t="shared" ca="1" si="488"/>
        <v>1</v>
      </c>
      <c r="BF484" s="432">
        <f t="shared" ca="1" si="488"/>
        <v>1</v>
      </c>
      <c r="BG484" s="432">
        <f t="shared" ca="1" si="488"/>
        <v>1</v>
      </c>
      <c r="BH484" s="418"/>
    </row>
    <row r="485" spans="1:60" s="415" customFormat="1" hidden="1" outlineLevel="1" x14ac:dyDescent="0.25">
      <c r="A485" s="421" t="str">
        <f ca="1">"Stock Price (Trading Cur.) - "&amp;MO.ValuationToggle&amp;", "&amp;HP.TradeCurrency</f>
        <v>Stock Price (Trading Cur.) - Avg, USD</v>
      </c>
      <c r="B485" s="679"/>
      <c r="C485" s="422">
        <f t="shared" ref="C485:AH485" ca="1" si="489">IF(INDEX(MO_SNA_IsHistoricalPeriod,1,COLUMN())=FALSE,MO.LastPrice,CHOOSE(VLOOKUP(MO.ValuationToggle,tb_ValuationToggle,COLUMNS(tb_ValuationToggle),FALSE),C481,C482,C483))</f>
        <v>0</v>
      </c>
      <c r="D485" s="422">
        <f t="shared" ca="1" si="489"/>
        <v>4.6683446153846102</v>
      </c>
      <c r="E485" s="422">
        <f t="shared" ca="1" si="489"/>
        <v>5.3609420634920602</v>
      </c>
      <c r="F485" s="422">
        <f t="shared" ca="1" si="489"/>
        <v>6.2337388000000002</v>
      </c>
      <c r="G485" s="423">
        <f t="shared" ca="1" si="489"/>
        <v>7.2993666666666703</v>
      </c>
      <c r="H485" s="423">
        <f t="shared" ca="1" si="489"/>
        <v>15.054917187499999</v>
      </c>
      <c r="I485" s="423">
        <f t="shared" ca="1" si="489"/>
        <v>29.680643750000002</v>
      </c>
      <c r="J485" s="423">
        <f t="shared" ca="1" si="489"/>
        <v>30.637359374999999</v>
      </c>
      <c r="K485" s="422">
        <f t="shared" ca="1" si="489"/>
        <v>20.880273412698401</v>
      </c>
      <c r="L485" s="423">
        <f t="shared" ca="1" si="489"/>
        <v>40.182327868852397</v>
      </c>
      <c r="M485" s="423">
        <f t="shared" ca="1" si="489"/>
        <v>41.841355555555602</v>
      </c>
      <c r="N485" s="423">
        <f t="shared" ca="1" si="489"/>
        <v>49.505859375</v>
      </c>
      <c r="O485" s="423">
        <f t="shared" ca="1" si="489"/>
        <v>46.879406250000002</v>
      </c>
      <c r="P485" s="422">
        <f t="shared" ca="1" si="489"/>
        <v>44.665811111111097</v>
      </c>
      <c r="Q485" s="423">
        <f t="shared" ca="1" si="489"/>
        <v>40.497278688524602</v>
      </c>
      <c r="R485" s="423">
        <f t="shared" ca="1" si="489"/>
        <v>47.435809523809503</v>
      </c>
      <c r="S485" s="423">
        <f t="shared" ca="1" si="489"/>
        <v>50.974312500000003</v>
      </c>
      <c r="T485" s="423">
        <f t="shared" ca="1" si="489"/>
        <v>44.890749999999997</v>
      </c>
      <c r="U485" s="422">
        <f t="shared" ca="1" si="489"/>
        <v>46.008547619047597</v>
      </c>
      <c r="V485" s="423">
        <f t="shared" ca="1" si="489"/>
        <v>39.4600655737705</v>
      </c>
      <c r="W485" s="424">
        <f t="shared" ca="1" si="489"/>
        <v>45.455968749999997</v>
      </c>
      <c r="X485" s="424">
        <f t="shared" ca="1" si="489"/>
        <v>43.315156250000001</v>
      </c>
      <c r="Y485" s="423">
        <f t="shared" ca="1" si="489"/>
        <v>39.426253968254002</v>
      </c>
      <c r="Z485" s="425">
        <f t="shared" ca="1" si="489"/>
        <v>41.953452380952399</v>
      </c>
      <c r="AA485" s="423">
        <f t="shared" ca="1" si="489"/>
        <v>50.756516129032299</v>
      </c>
      <c r="AB485" s="424">
        <f t="shared" ca="1" si="489"/>
        <v>66.036888888888896</v>
      </c>
      <c r="AC485" s="424">
        <f t="shared" ca="1" si="489"/>
        <v>69.217047619047605</v>
      </c>
      <c r="AD485" s="423">
        <f t="shared" ca="1" si="489"/>
        <v>65.250412698412703</v>
      </c>
      <c r="AE485" s="425">
        <f t="shared" ca="1" si="489"/>
        <v>62.863258964143398</v>
      </c>
      <c r="AF485" s="423">
        <f t="shared" ca="1" si="489"/>
        <v>65.985786885245901</v>
      </c>
      <c r="AG485" s="424">
        <f t="shared" ca="1" si="489"/>
        <v>60.967453124999999</v>
      </c>
      <c r="AH485" s="424">
        <f t="shared" ca="1" si="489"/>
        <v>62.483206349206398</v>
      </c>
      <c r="AI485" s="423">
        <f t="shared" ref="AI485:AY485" ca="1" si="490">IF(INDEX(MO_SNA_IsHistoricalPeriod,1,COLUMN())=FALSE,MO.LastPrice,CHOOSE(VLOOKUP(MO.ValuationToggle,tb_ValuationToggle,COLUMNS(tb_ValuationToggle),FALSE),AI481,AI482,AI483))</f>
        <v>64.531158730158793</v>
      </c>
      <c r="AJ485" s="425">
        <f t="shared" ca="1" si="490"/>
        <v>63.461972111553798</v>
      </c>
      <c r="AK485" s="423">
        <f t="shared" ca="1" si="490"/>
        <v>60.2233442622951</v>
      </c>
      <c r="AL485" s="424">
        <f t="shared" ca="1" si="490"/>
        <v>46.691555555555603</v>
      </c>
      <c r="AM485" s="424">
        <f t="shared" ca="1" si="490"/>
        <v>46.9684375</v>
      </c>
      <c r="AN485" s="423">
        <f t="shared" ca="1" si="490"/>
        <v>65.07421875</v>
      </c>
      <c r="AO485" s="425">
        <f t="shared" ca="1" si="490"/>
        <v>54.706039682539597</v>
      </c>
      <c r="AP485" s="423">
        <f t="shared" ca="1" si="490"/>
        <v>124.366322580645</v>
      </c>
      <c r="AQ485" s="424">
        <f t="shared" ca="1" si="490"/>
        <v>162.29209523809499</v>
      </c>
      <c r="AR485" s="424">
        <f ca="1">IF(INDEX(MO_SNA_IsHistoricalPeriod,1,COLUMN())=FALSE,MO.LastPrice,CHOOSE(VLOOKUP(MO.ValuationToggle,tb_ValuationToggle,COLUMNS(tb_ValuationToggle),FALSE),AR481,AR482,AR483))</f>
        <v>354.20740625000002</v>
      </c>
      <c r="AS485" s="423">
        <f ca="1">IF(INDEX(MO_SNA_IsHistoricalPeriod,1,COLUMN())=FALSE,MO.LastPrice,CHOOSE(VLOOKUP(MO.ValuationToggle,tb_ValuationToggle,COLUMNS(tb_ValuationToggle),FALSE),AS481,AS482,AS483))</f>
        <v>511.95109374999998</v>
      </c>
      <c r="AT485" s="425">
        <f ca="1">IF(INDEX(MO_SNA_IsHistoricalPeriod,1,COLUMN())=FALSE,MO.LastPrice,CHOOSE(VLOOKUP(MO.ValuationToggle,tb_ValuationToggle,COLUMNS(tb_ValuationToggle),FALSE),AT481,AT482,AT483))</f>
        <v>289.997067193676</v>
      </c>
      <c r="AU485" s="423">
        <f t="shared" ref="AU485" ca="1" si="491">IF(INDEX(MO_SNA_IsHistoricalPeriod,1,COLUMN())=FALSE,MO.LastPrice,CHOOSE(VLOOKUP(MO.ValuationToggle,tb_ValuationToggle,COLUMNS(tb_ValuationToggle),FALSE),AU481,AU482,AU483))</f>
        <v>753.18590163934402</v>
      </c>
      <c r="AV485" s="424">
        <f ca="1">IF(INDEX(MO_SNA_IsHistoricalPeriod,1,COLUMN())=FALSE,MO.LastPrice,CHOOSE(VLOOKUP(MO.ValuationToggle,tb_ValuationToggle,COLUMNS(tb_ValuationToggle),FALSE),AV481,AV482,AV483))</f>
        <v>651.25825396825405</v>
      </c>
      <c r="AW485" s="808">
        <f ca="1">IF(INDEX(MO_SNA_IsHistoricalPeriod,1,COLUMN())=FALSE,MO.LastPrice,CHOOSE(VLOOKUP(MO.ValuationToggle,tb_ValuationToggle,COLUMNS(tb_ValuationToggle),FALSE),AW481,AW482,AW483))</f>
        <v>706.26468750000004</v>
      </c>
      <c r="AX485" s="423">
        <f t="shared" ca="1" si="490"/>
        <v>1049.6099999999999</v>
      </c>
      <c r="AY485" s="426">
        <f t="shared" ca="1" si="490"/>
        <v>1049.6099999999999</v>
      </c>
      <c r="AZ485" s="423">
        <f t="shared" ref="AZ485:BG485" ca="1" si="492">IF(INDEX(MO_SNA_IsHistoricalPeriod,1,COLUMN())=FALSE,MO.LastPrice,CHOOSE(VLOOKUP(MO.ValuationToggle,tb_ValuationToggle,COLUMNS(tb_ValuationToggle),FALSE),AZ481,AZ482,AZ483))</f>
        <v>1049.6099999999999</v>
      </c>
      <c r="BA485" s="423">
        <f t="shared" ca="1" si="492"/>
        <v>1049.6099999999999</v>
      </c>
      <c r="BB485" s="423">
        <f t="shared" ca="1" si="492"/>
        <v>1049.6099999999999</v>
      </c>
      <c r="BC485" s="423">
        <f t="shared" ca="1" si="492"/>
        <v>1049.6099999999999</v>
      </c>
      <c r="BD485" s="426">
        <f t="shared" ca="1" si="492"/>
        <v>1049.6099999999999</v>
      </c>
      <c r="BE485" s="426">
        <f t="shared" ca="1" si="492"/>
        <v>1049.6099999999999</v>
      </c>
      <c r="BF485" s="426">
        <f t="shared" ca="1" si="492"/>
        <v>1049.6099999999999</v>
      </c>
      <c r="BG485" s="426">
        <f t="shared" ca="1" si="492"/>
        <v>1049.6099999999999</v>
      </c>
      <c r="BH485" s="414"/>
    </row>
    <row r="486" spans="1:60" s="109" customFormat="1" hidden="1" outlineLevel="1" x14ac:dyDescent="0.25">
      <c r="A486" s="217"/>
      <c r="B486" s="214"/>
      <c r="C486" s="1051"/>
      <c r="D486" s="1051"/>
      <c r="E486" s="1051"/>
      <c r="F486" s="1051"/>
      <c r="G486" s="1052"/>
      <c r="H486" s="1052"/>
      <c r="I486" s="1052"/>
      <c r="J486" s="1052"/>
      <c r="K486" s="1051"/>
      <c r="L486" s="1052"/>
      <c r="M486" s="1052"/>
      <c r="N486" s="1052"/>
      <c r="O486" s="1052"/>
      <c r="P486" s="1051"/>
      <c r="Q486" s="1052"/>
      <c r="R486" s="1052"/>
      <c r="S486" s="1052"/>
      <c r="T486" s="1052"/>
      <c r="U486" s="1051"/>
      <c r="V486" s="1052"/>
      <c r="W486" s="1052"/>
      <c r="X486" s="1052"/>
      <c r="Y486" s="1052"/>
      <c r="Z486" s="1051"/>
      <c r="AA486" s="1052"/>
      <c r="AB486" s="1052"/>
      <c r="AC486" s="1052"/>
      <c r="AD486" s="1052"/>
      <c r="AE486" s="1051"/>
      <c r="AF486" s="1052"/>
      <c r="AG486" s="1052"/>
      <c r="AH486" s="1052"/>
      <c r="AI486" s="1052"/>
      <c r="AJ486" s="1051"/>
      <c r="AK486" s="1052"/>
      <c r="AL486" s="1052"/>
      <c r="AM486" s="1052"/>
      <c r="AN486" s="1052"/>
      <c r="AO486" s="1051"/>
      <c r="AP486" s="1052"/>
      <c r="AQ486" s="1052"/>
      <c r="AR486" s="1052"/>
      <c r="AS486" s="1052"/>
      <c r="AT486" s="1051"/>
      <c r="AU486" s="1052"/>
      <c r="AV486" s="1052"/>
      <c r="AW486" s="1053"/>
      <c r="AX486" s="1052"/>
      <c r="AY486" s="1051"/>
      <c r="AZ486" s="1052"/>
      <c r="BA486" s="1052"/>
      <c r="BB486" s="1052"/>
      <c r="BC486" s="1052"/>
      <c r="BD486" s="1051"/>
      <c r="BE486" s="1051"/>
      <c r="BF486" s="1051"/>
      <c r="BG486" s="1051"/>
      <c r="BH486" s="1024"/>
    </row>
    <row r="487" spans="1:60" s="112" customFormat="1" hidden="1" outlineLevel="1" x14ac:dyDescent="0.25">
      <c r="A487" s="233" t="s">
        <v>166</v>
      </c>
      <c r="B487" s="507"/>
      <c r="C487" s="1045"/>
      <c r="D487" s="1045"/>
      <c r="E487" s="1045"/>
      <c r="F487" s="1045"/>
      <c r="G487" s="1046"/>
      <c r="H487" s="1046"/>
      <c r="I487" s="1046"/>
      <c r="J487" s="1046"/>
      <c r="K487" s="1045"/>
      <c r="L487" s="1046"/>
      <c r="M487" s="1046"/>
      <c r="N487" s="1046"/>
      <c r="O487" s="1046"/>
      <c r="P487" s="1045"/>
      <c r="Q487" s="1046"/>
      <c r="R487" s="1046"/>
      <c r="S487" s="1046"/>
      <c r="T487" s="1046"/>
      <c r="U487" s="1045"/>
      <c r="V487" s="1046"/>
      <c r="W487" s="1046"/>
      <c r="X487" s="1046"/>
      <c r="Y487" s="1046"/>
      <c r="Z487" s="1045"/>
      <c r="AA487" s="1046"/>
      <c r="AB487" s="1046"/>
      <c r="AC487" s="1046"/>
      <c r="AD487" s="1046"/>
      <c r="AE487" s="1045"/>
      <c r="AF487" s="1046"/>
      <c r="AG487" s="1046"/>
      <c r="AH487" s="1046"/>
      <c r="AI487" s="1046"/>
      <c r="AJ487" s="1045"/>
      <c r="AK487" s="1046"/>
      <c r="AL487" s="1046"/>
      <c r="AM487" s="1046"/>
      <c r="AN487" s="1046"/>
      <c r="AO487" s="1045"/>
      <c r="AP487" s="1046"/>
      <c r="AQ487" s="1046"/>
      <c r="AR487" s="1046"/>
      <c r="AS487" s="1046"/>
      <c r="AT487" s="1045"/>
      <c r="AU487" s="1046"/>
      <c r="AV487" s="1046"/>
      <c r="AW487" s="1047"/>
      <c r="AX487" s="1046"/>
      <c r="AY487" s="1045"/>
      <c r="AZ487" s="1046"/>
      <c r="BA487" s="1046"/>
      <c r="BB487" s="1046"/>
      <c r="BC487" s="1046"/>
      <c r="BD487" s="1045"/>
      <c r="BE487" s="1045"/>
      <c r="BF487" s="1045"/>
      <c r="BG487" s="1045"/>
      <c r="BH487" s="1034"/>
    </row>
    <row r="488" spans="1:60" s="356" customFormat="1" hidden="1" outlineLevel="1" x14ac:dyDescent="0.25">
      <c r="A488" s="259" t="s">
        <v>167</v>
      </c>
      <c r="B488" s="450"/>
      <c r="C488" s="35">
        <f t="shared" ref="C488:AH488" si="493">C787</f>
        <v>0</v>
      </c>
      <c r="D488" s="35">
        <f t="shared" si="493"/>
        <v>0</v>
      </c>
      <c r="E488" s="35">
        <f t="shared" si="493"/>
        <v>0</v>
      </c>
      <c r="F488" s="35">
        <f t="shared" si="493"/>
        <v>0</v>
      </c>
      <c r="G488" s="361">
        <f t="shared" si="493"/>
        <v>0</v>
      </c>
      <c r="H488" s="361">
        <f t="shared" si="493"/>
        <v>0</v>
      </c>
      <c r="I488" s="361">
        <f t="shared" si="493"/>
        <v>0</v>
      </c>
      <c r="J488" s="361">
        <f t="shared" si="493"/>
        <v>0</v>
      </c>
      <c r="K488" s="35">
        <f t="shared" si="493"/>
        <v>0</v>
      </c>
      <c r="L488" s="361">
        <f t="shared" si="493"/>
        <v>0</v>
      </c>
      <c r="M488" s="361">
        <f t="shared" si="493"/>
        <v>0</v>
      </c>
      <c r="N488" s="361">
        <f t="shared" si="493"/>
        <v>0</v>
      </c>
      <c r="O488" s="361">
        <f t="shared" si="493"/>
        <v>0</v>
      </c>
      <c r="P488" s="35">
        <f t="shared" si="493"/>
        <v>0</v>
      </c>
      <c r="Q488" s="361">
        <f t="shared" si="493"/>
        <v>0</v>
      </c>
      <c r="R488" s="361">
        <f t="shared" si="493"/>
        <v>0</v>
      </c>
      <c r="S488" s="361">
        <f t="shared" si="493"/>
        <v>0</v>
      </c>
      <c r="T488" s="361">
        <f t="shared" si="493"/>
        <v>0</v>
      </c>
      <c r="U488" s="35">
        <f t="shared" si="493"/>
        <v>0</v>
      </c>
      <c r="V488" s="361">
        <f t="shared" si="493"/>
        <v>0</v>
      </c>
      <c r="W488" s="36">
        <f t="shared" si="493"/>
        <v>0</v>
      </c>
      <c r="X488" s="36">
        <f t="shared" si="493"/>
        <v>0</v>
      </c>
      <c r="Y488" s="361">
        <f t="shared" si="493"/>
        <v>785.17499999999995</v>
      </c>
      <c r="Z488" s="35">
        <f t="shared" si="493"/>
        <v>785.17499999999995</v>
      </c>
      <c r="AA488" s="361">
        <f t="shared" si="493"/>
        <v>809.07500000000005</v>
      </c>
      <c r="AB488" s="36">
        <f t="shared" si="493"/>
        <v>1108.9860000000001</v>
      </c>
      <c r="AC488" s="36">
        <f t="shared" si="493"/>
        <v>1063.2370000000001</v>
      </c>
      <c r="AD488" s="361">
        <f t="shared" si="493"/>
        <v>997.346</v>
      </c>
      <c r="AE488" s="35">
        <f t="shared" si="493"/>
        <v>997.346</v>
      </c>
      <c r="AF488" s="361">
        <f t="shared" si="493"/>
        <v>863.87599999999998</v>
      </c>
      <c r="AG488" s="36">
        <f t="shared" si="493"/>
        <v>821.15599999999995</v>
      </c>
      <c r="AH488" s="36">
        <f t="shared" si="493"/>
        <v>793.46699999999998</v>
      </c>
      <c r="AI488" s="361">
        <f t="shared" ref="AI488:AY488" si="494">AI787</f>
        <v>834.39700000000005</v>
      </c>
      <c r="AJ488" s="35">
        <f t="shared" si="494"/>
        <v>834.39700000000005</v>
      </c>
      <c r="AK488" s="361">
        <f t="shared" si="494"/>
        <v>862.02599999999995</v>
      </c>
      <c r="AL488" s="36">
        <f t="shared" si="494"/>
        <v>854.84100000000001</v>
      </c>
      <c r="AM488" s="36">
        <f t="shared" si="494"/>
        <v>842</v>
      </c>
      <c r="AN488" s="361">
        <f t="shared" si="494"/>
        <v>849</v>
      </c>
      <c r="AO488" s="35">
        <f t="shared" si="494"/>
        <v>849</v>
      </c>
      <c r="AP488" s="361">
        <f t="shared" si="494"/>
        <v>867</v>
      </c>
      <c r="AQ488" s="36">
        <f t="shared" si="494"/>
        <v>869</v>
      </c>
      <c r="AR488" s="36">
        <f>AR787</f>
        <v>861</v>
      </c>
      <c r="AS488" s="361">
        <f>AS787</f>
        <v>850</v>
      </c>
      <c r="AT488" s="35">
        <f>AT787</f>
        <v>850</v>
      </c>
      <c r="AU488" s="361">
        <f t="shared" ref="AU488" si="495">AU787</f>
        <v>847</v>
      </c>
      <c r="AV488" s="36">
        <f>AV787</f>
        <v>841</v>
      </c>
      <c r="AW488" s="792">
        <f>AW787</f>
        <v>836</v>
      </c>
      <c r="AX488" s="439">
        <f t="shared" si="494"/>
        <v>846</v>
      </c>
      <c r="AY488" s="440">
        <f t="shared" si="494"/>
        <v>846</v>
      </c>
      <c r="AZ488" s="439">
        <f t="shared" ref="AZ488:BG488" si="496">AZ787</f>
        <v>856</v>
      </c>
      <c r="BA488" s="439">
        <f t="shared" si="496"/>
        <v>866</v>
      </c>
      <c r="BB488" s="439">
        <f t="shared" si="496"/>
        <v>876</v>
      </c>
      <c r="BC488" s="439">
        <f t="shared" si="496"/>
        <v>886</v>
      </c>
      <c r="BD488" s="440">
        <f t="shared" si="496"/>
        <v>886</v>
      </c>
      <c r="BE488" s="440">
        <f t="shared" si="496"/>
        <v>926</v>
      </c>
      <c r="BF488" s="440">
        <f t="shared" si="496"/>
        <v>966</v>
      </c>
      <c r="BG488" s="440">
        <f t="shared" si="496"/>
        <v>1006</v>
      </c>
      <c r="BH488" s="361"/>
    </row>
    <row r="489" spans="1:60" s="356" customFormat="1" hidden="1" outlineLevel="1" x14ac:dyDescent="0.25">
      <c r="A489" s="259" t="s">
        <v>168</v>
      </c>
      <c r="B489" s="450"/>
      <c r="C489" s="440"/>
      <c r="D489" s="440"/>
      <c r="E489" s="440"/>
      <c r="F489" s="440"/>
      <c r="G489" s="439"/>
      <c r="H489" s="439"/>
      <c r="I489" s="439"/>
      <c r="J489" s="439"/>
      <c r="K489" s="440"/>
      <c r="L489" s="439"/>
      <c r="M489" s="439"/>
      <c r="N489" s="439"/>
      <c r="O489" s="439"/>
      <c r="P489" s="440"/>
      <c r="Q489" s="439"/>
      <c r="R489" s="439"/>
      <c r="S489" s="439"/>
      <c r="T489" s="439"/>
      <c r="U489" s="440"/>
      <c r="V489" s="439"/>
      <c r="W489" s="439"/>
      <c r="X489" s="439"/>
      <c r="Y489" s="439"/>
      <c r="Z489" s="440"/>
      <c r="AA489" s="439"/>
      <c r="AB489" s="439"/>
      <c r="AC489" s="439"/>
      <c r="AD489" s="439"/>
      <c r="AE489" s="440"/>
      <c r="AF489" s="439"/>
      <c r="AG489" s="439"/>
      <c r="AH489" s="439"/>
      <c r="AI489" s="439"/>
      <c r="AJ489" s="440"/>
      <c r="AK489" s="439"/>
      <c r="AL489" s="439"/>
      <c r="AM489" s="439"/>
      <c r="AN489" s="439"/>
      <c r="AO489" s="440"/>
      <c r="AP489" s="439"/>
      <c r="AQ489" s="439"/>
      <c r="AR489" s="439"/>
      <c r="AS489" s="439"/>
      <c r="AT489" s="440"/>
      <c r="AU489" s="439"/>
      <c r="AV489" s="439"/>
      <c r="AW489" s="726"/>
      <c r="AX489" s="439"/>
      <c r="AY489" s="440"/>
      <c r="AZ489" s="439"/>
      <c r="BA489" s="439"/>
      <c r="BB489" s="439"/>
      <c r="BC489" s="439"/>
      <c r="BD489" s="440"/>
      <c r="BE489" s="440"/>
      <c r="BF489" s="440"/>
      <c r="BG489" s="440"/>
      <c r="BH489" s="361"/>
    </row>
    <row r="490" spans="1:60" s="356" customFormat="1" hidden="1" outlineLevel="1" x14ac:dyDescent="0.25">
      <c r="A490" s="259" t="s">
        <v>169</v>
      </c>
      <c r="B490" s="450"/>
      <c r="C490" s="35">
        <f t="shared" ref="C490:AT490" si="497">C766+C776</f>
        <v>0</v>
      </c>
      <c r="D490" s="35">
        <f t="shared" si="497"/>
        <v>6.0880000000000001</v>
      </c>
      <c r="E490" s="35">
        <f t="shared" si="497"/>
        <v>8.8379999999999992</v>
      </c>
      <c r="F490" s="35">
        <f t="shared" si="497"/>
        <v>10.692</v>
      </c>
      <c r="G490" s="361">
        <f t="shared" si="497"/>
        <v>0</v>
      </c>
      <c r="H490" s="361">
        <f t="shared" si="497"/>
        <v>0</v>
      </c>
      <c r="I490" s="361">
        <f t="shared" si="497"/>
        <v>0</v>
      </c>
      <c r="J490" s="361">
        <f t="shared" si="497"/>
        <v>0</v>
      </c>
      <c r="K490" s="35">
        <f t="shared" si="497"/>
        <v>0</v>
      </c>
      <c r="L490" s="361">
        <f t="shared" si="497"/>
        <v>0</v>
      </c>
      <c r="M490" s="361">
        <f t="shared" si="497"/>
        <v>0</v>
      </c>
      <c r="N490" s="361">
        <f t="shared" si="497"/>
        <v>0</v>
      </c>
      <c r="O490" s="361">
        <f t="shared" si="497"/>
        <v>0</v>
      </c>
      <c r="P490" s="35">
        <f t="shared" si="497"/>
        <v>0</v>
      </c>
      <c r="Q490" s="361">
        <f t="shared" si="497"/>
        <v>0</v>
      </c>
      <c r="R490" s="361">
        <f t="shared" si="497"/>
        <v>0</v>
      </c>
      <c r="S490" s="361">
        <f t="shared" si="497"/>
        <v>0</v>
      </c>
      <c r="T490" s="361">
        <f t="shared" si="497"/>
        <v>0</v>
      </c>
      <c r="U490" s="35">
        <f t="shared" si="497"/>
        <v>0</v>
      </c>
      <c r="V490" s="361">
        <f t="shared" si="497"/>
        <v>0</v>
      </c>
      <c r="W490" s="36">
        <f t="shared" si="497"/>
        <v>0</v>
      </c>
      <c r="X490" s="36">
        <f t="shared" si="497"/>
        <v>0</v>
      </c>
      <c r="Y490" s="361">
        <f t="shared" si="497"/>
        <v>367.03899999999999</v>
      </c>
      <c r="Z490" s="35">
        <f t="shared" si="497"/>
        <v>367.03899999999999</v>
      </c>
      <c r="AA490" s="361">
        <f t="shared" si="497"/>
        <v>364.29599999999999</v>
      </c>
      <c r="AB490" s="36">
        <f t="shared" si="497"/>
        <v>367.37700000000001</v>
      </c>
      <c r="AC490" s="36">
        <f t="shared" si="497"/>
        <v>402.94299999999998</v>
      </c>
      <c r="AD490" s="361">
        <f t="shared" si="497"/>
        <v>397.73399999999998</v>
      </c>
      <c r="AE490" s="35">
        <f t="shared" si="497"/>
        <v>397.73399999999998</v>
      </c>
      <c r="AF490" s="361">
        <f t="shared" si="497"/>
        <v>405.83499999999998</v>
      </c>
      <c r="AG490" s="36">
        <f t="shared" si="497"/>
        <v>539.53599999999994</v>
      </c>
      <c r="AH490" s="36">
        <f t="shared" si="497"/>
        <v>551.26400000000001</v>
      </c>
      <c r="AI490" s="361">
        <f t="shared" si="497"/>
        <v>555.96400000000006</v>
      </c>
      <c r="AJ490" s="35">
        <f t="shared" si="497"/>
        <v>555.96400000000006</v>
      </c>
      <c r="AK490" s="361">
        <f t="shared" si="497"/>
        <v>570.28399999999999</v>
      </c>
      <c r="AL490" s="36">
        <f t="shared" si="497"/>
        <v>580.22699999999998</v>
      </c>
      <c r="AM490" s="36">
        <f t="shared" si="497"/>
        <v>600</v>
      </c>
      <c r="AN490" s="361">
        <f t="shared" si="497"/>
        <v>643</v>
      </c>
      <c r="AO490" s="35">
        <f t="shared" si="497"/>
        <v>643</v>
      </c>
      <c r="AP490" s="361">
        <f t="shared" si="497"/>
        <v>632</v>
      </c>
      <c r="AQ490" s="36">
        <f t="shared" si="497"/>
        <v>613</v>
      </c>
      <c r="AR490" s="36">
        <f t="shared" si="497"/>
        <v>608</v>
      </c>
      <c r="AS490" s="361">
        <f t="shared" si="497"/>
        <v>604</v>
      </c>
      <c r="AT490" s="35">
        <f t="shared" si="497"/>
        <v>604</v>
      </c>
      <c r="AU490" s="361">
        <f t="shared" ref="AU490" si="498">AU766+AU776</f>
        <v>601</v>
      </c>
      <c r="AV490" s="36">
        <f>AV766+AV776</f>
        <v>605</v>
      </c>
      <c r="AW490" s="792">
        <f>AW766+AW776</f>
        <v>605</v>
      </c>
      <c r="AX490" s="439">
        <f t="shared" ref="AX490:BG490" si="499">AX766+AX776</f>
        <v>605</v>
      </c>
      <c r="AY490" s="440">
        <f t="shared" si="499"/>
        <v>605</v>
      </c>
      <c r="AZ490" s="439">
        <f t="shared" si="499"/>
        <v>605</v>
      </c>
      <c r="BA490" s="439">
        <f t="shared" si="499"/>
        <v>605</v>
      </c>
      <c r="BB490" s="439">
        <f t="shared" si="499"/>
        <v>605</v>
      </c>
      <c r="BC490" s="439">
        <f t="shared" si="499"/>
        <v>605</v>
      </c>
      <c r="BD490" s="440">
        <f t="shared" si="499"/>
        <v>605</v>
      </c>
      <c r="BE490" s="440">
        <f t="shared" si="499"/>
        <v>605</v>
      </c>
      <c r="BF490" s="440">
        <f t="shared" si="499"/>
        <v>605</v>
      </c>
      <c r="BG490" s="440">
        <f t="shared" si="499"/>
        <v>605</v>
      </c>
      <c r="BH490" s="361"/>
    </row>
    <row r="491" spans="1:60" s="109" customFormat="1" collapsed="1" x14ac:dyDescent="0.25">
      <c r="A491" s="681"/>
      <c r="B491" s="214"/>
      <c r="C491" s="1051"/>
      <c r="D491" s="1051"/>
      <c r="E491" s="1051"/>
      <c r="F491" s="1051"/>
      <c r="G491" s="1052"/>
      <c r="H491" s="1052"/>
      <c r="I491" s="1052"/>
      <c r="J491" s="1052"/>
      <c r="K491" s="1051"/>
      <c r="L491" s="1052"/>
      <c r="M491" s="1052"/>
      <c r="N491" s="1052"/>
      <c r="O491" s="1052"/>
      <c r="P491" s="1051"/>
      <c r="Q491" s="1052"/>
      <c r="R491" s="1052"/>
      <c r="S491" s="1052"/>
      <c r="T491" s="1052"/>
      <c r="U491" s="1051"/>
      <c r="V491" s="1052"/>
      <c r="W491" s="1052"/>
      <c r="X491" s="1052"/>
      <c r="Y491" s="1052"/>
      <c r="Z491" s="1051"/>
      <c r="AA491" s="1052"/>
      <c r="AB491" s="1052"/>
      <c r="AC491" s="1052"/>
      <c r="AD491" s="1052"/>
      <c r="AE491" s="1051"/>
      <c r="AF491" s="1052"/>
      <c r="AG491" s="1052"/>
      <c r="AH491" s="1052"/>
      <c r="AI491" s="1052"/>
      <c r="AJ491" s="1051"/>
      <c r="AK491" s="1052"/>
      <c r="AL491" s="1052"/>
      <c r="AM491" s="1052"/>
      <c r="AN491" s="1052"/>
      <c r="AO491" s="1051"/>
      <c r="AP491" s="1052"/>
      <c r="AQ491" s="1052"/>
      <c r="AR491" s="1052"/>
      <c r="AS491" s="1052"/>
      <c r="AT491" s="1051"/>
      <c r="AU491" s="1052"/>
      <c r="AV491" s="1052"/>
      <c r="AW491" s="1053"/>
      <c r="AX491" s="1052"/>
      <c r="AY491" s="1051"/>
      <c r="AZ491" s="1052"/>
      <c r="BA491" s="1052"/>
      <c r="BB491" s="1052"/>
      <c r="BC491" s="1052"/>
      <c r="BD491" s="1051"/>
      <c r="BE491" s="1051"/>
      <c r="BF491" s="1051"/>
      <c r="BG491" s="1051"/>
      <c r="BH491" s="1024"/>
    </row>
    <row r="492" spans="1:60" s="112" customFormat="1" x14ac:dyDescent="0.25">
      <c r="A492" s="1020" t="s">
        <v>170</v>
      </c>
      <c r="B492" s="1020"/>
      <c r="C492" s="1043"/>
      <c r="D492" s="1043"/>
      <c r="E492" s="1043"/>
      <c r="F492" s="1043"/>
      <c r="G492" s="1043"/>
      <c r="H492" s="1043"/>
      <c r="I492" s="1043"/>
      <c r="J492" s="1043"/>
      <c r="K492" s="1043"/>
      <c r="L492" s="1043"/>
      <c r="M492" s="1043"/>
      <c r="N492" s="1043"/>
      <c r="O492" s="1043"/>
      <c r="P492" s="1043"/>
      <c r="Q492" s="1043"/>
      <c r="R492" s="1043"/>
      <c r="S492" s="1043"/>
      <c r="T492" s="1043"/>
      <c r="U492" s="1043"/>
      <c r="V492" s="1043"/>
      <c r="W492" s="1043"/>
      <c r="X492" s="1043"/>
      <c r="Y492" s="1043"/>
      <c r="Z492" s="1043"/>
      <c r="AA492" s="1043"/>
      <c r="AB492" s="1043"/>
      <c r="AC492" s="1043"/>
      <c r="AD492" s="1043"/>
      <c r="AE492" s="1043"/>
      <c r="AF492" s="1043"/>
      <c r="AG492" s="1043"/>
      <c r="AH492" s="1043"/>
      <c r="AI492" s="1043"/>
      <c r="AJ492" s="1043"/>
      <c r="AK492" s="1043"/>
      <c r="AL492" s="1043"/>
      <c r="AM492" s="1043"/>
      <c r="AN492" s="1043"/>
      <c r="AO492" s="1043"/>
      <c r="AP492" s="1043"/>
      <c r="AQ492" s="1043"/>
      <c r="AR492" s="1043"/>
      <c r="AS492" s="1043"/>
      <c r="AT492" s="1043"/>
      <c r="AU492" s="1043"/>
      <c r="AV492" s="1043"/>
      <c r="AW492" s="1044"/>
      <c r="AX492" s="1043"/>
      <c r="AY492" s="1043"/>
      <c r="AZ492" s="1043"/>
      <c r="BA492" s="1043"/>
      <c r="BB492" s="1043"/>
      <c r="BC492" s="1043"/>
      <c r="BD492" s="1043"/>
      <c r="BE492" s="1043"/>
      <c r="BF492" s="1043"/>
      <c r="BG492" s="1043"/>
      <c r="BH492" s="1034"/>
    </row>
    <row r="493" spans="1:60" s="112" customFormat="1" hidden="1" outlineLevel="1" x14ac:dyDescent="0.25">
      <c r="A493" s="39" t="s">
        <v>171</v>
      </c>
      <c r="B493" s="507"/>
      <c r="C493" s="1045"/>
      <c r="D493" s="1045"/>
      <c r="E493" s="1045"/>
      <c r="F493" s="1045"/>
      <c r="G493" s="1046"/>
      <c r="H493" s="1046"/>
      <c r="I493" s="1046"/>
      <c r="J493" s="1046"/>
      <c r="K493" s="1045"/>
      <c r="L493" s="1046"/>
      <c r="M493" s="1046"/>
      <c r="N493" s="1046"/>
      <c r="O493" s="1046"/>
      <c r="P493" s="1045"/>
      <c r="Q493" s="1046"/>
      <c r="R493" s="1046"/>
      <c r="S493" s="1046"/>
      <c r="T493" s="1046"/>
      <c r="U493" s="1045"/>
      <c r="V493" s="1046"/>
      <c r="W493" s="1046"/>
      <c r="X493" s="1046"/>
      <c r="Y493" s="1046"/>
      <c r="Z493" s="1045"/>
      <c r="AA493" s="1046"/>
      <c r="AB493" s="1046"/>
      <c r="AC493" s="1046"/>
      <c r="AD493" s="1046"/>
      <c r="AE493" s="1045"/>
      <c r="AF493" s="1046"/>
      <c r="AG493" s="1046"/>
      <c r="AH493" s="1046"/>
      <c r="AI493" s="1046"/>
      <c r="AJ493" s="1045"/>
      <c r="AK493" s="1046"/>
      <c r="AL493" s="1046"/>
      <c r="AM493" s="1046"/>
      <c r="AN493" s="1046"/>
      <c r="AO493" s="1045"/>
      <c r="AP493" s="1046"/>
      <c r="AQ493" s="1046"/>
      <c r="AR493" s="1046"/>
      <c r="AS493" s="1046"/>
      <c r="AT493" s="1045"/>
      <c r="AU493" s="1046"/>
      <c r="AV493" s="1046"/>
      <c r="AW493" s="1047"/>
      <c r="AX493" s="1046"/>
      <c r="AY493" s="1045"/>
      <c r="AZ493" s="1046"/>
      <c r="BA493" s="1046"/>
      <c r="BB493" s="1046"/>
      <c r="BC493" s="1046"/>
      <c r="BD493" s="1045"/>
      <c r="BE493" s="1045"/>
      <c r="BF493" s="1045"/>
      <c r="BG493" s="1045"/>
      <c r="BH493" s="1034"/>
    </row>
    <row r="494" spans="1:60" s="356" customFormat="1" hidden="1" outlineLevel="1" x14ac:dyDescent="0.25">
      <c r="A494" s="360" t="s">
        <v>98</v>
      </c>
      <c r="B494" s="450"/>
      <c r="C494" s="35">
        <v>-55.74</v>
      </c>
      <c r="D494" s="35">
        <v>-154.328</v>
      </c>
      <c r="E494" s="35">
        <v>-254.411</v>
      </c>
      <c r="F494" s="35">
        <v>-396.21300000000002</v>
      </c>
      <c r="G494" s="361">
        <v>11.247999999999999</v>
      </c>
      <c r="H494" s="361">
        <v>-19.254000000000001</v>
      </c>
      <c r="I494" s="361">
        <v>-57.75</v>
      </c>
      <c r="J494" s="361">
        <f>K494</f>
        <v>-74.013999999999996</v>
      </c>
      <c r="K494" s="35">
        <v>-74.013999999999996</v>
      </c>
      <c r="L494" s="361">
        <v>-49.8</v>
      </c>
      <c r="M494" s="361">
        <v>-111.702</v>
      </c>
      <c r="N494" s="361">
        <v>-186.411</v>
      </c>
      <c r="O494" s="361">
        <f>P494</f>
        <v>-294.04000000000002</v>
      </c>
      <c r="P494" s="35">
        <v>-294.04000000000002</v>
      </c>
      <c r="Q494" s="361">
        <v>-154.18100000000001</v>
      </c>
      <c r="R494" s="361">
        <v>-338.40800000000002</v>
      </c>
      <c r="S494" s="361">
        <v>-568.26599999999996</v>
      </c>
      <c r="T494" s="361">
        <f>U494</f>
        <v>-888.66300000000001</v>
      </c>
      <c r="U494" s="35">
        <v>-888.66300000000001</v>
      </c>
      <c r="V494" s="361">
        <v>-282.267</v>
      </c>
      <c r="W494" s="361">
        <v>-575.45500000000004</v>
      </c>
      <c r="X494" s="361">
        <v>-553.577</v>
      </c>
      <c r="Y494" s="361">
        <f>Z494</f>
        <v>-773.04600000000005</v>
      </c>
      <c r="Z494" s="35">
        <v>-773.04600000000005</v>
      </c>
      <c r="AA494" s="361">
        <v>-397.18099999999998</v>
      </c>
      <c r="AB494" s="361">
        <v>-798.60799999999995</v>
      </c>
      <c r="AC494" s="361">
        <v>-1469.771</v>
      </c>
      <c r="AD494" s="361">
        <f>AE494</f>
        <v>-2240.578</v>
      </c>
      <c r="AE494" s="35">
        <v>-2240.578</v>
      </c>
      <c r="AF494" s="361">
        <v>-784.62699999999995</v>
      </c>
      <c r="AG494" s="361">
        <v>-1527.3330000000001</v>
      </c>
      <c r="AH494" s="361">
        <v>-1272.6600000000001</v>
      </c>
      <c r="AI494" s="361">
        <f>AJ494</f>
        <v>-1062.5820000000001</v>
      </c>
      <c r="AJ494" s="35">
        <v>-1062.5820000000001</v>
      </c>
      <c r="AK494" s="361">
        <v>-667.64499999999998</v>
      </c>
      <c r="AL494" s="361">
        <v>-1056.9069999999999</v>
      </c>
      <c r="AM494" s="361">
        <v>-907</v>
      </c>
      <c r="AN494" s="361">
        <f t="shared" ref="AN494:AN509" si="500">AO494</f>
        <v>-775</v>
      </c>
      <c r="AO494" s="35">
        <v>-775</v>
      </c>
      <c r="AP494" s="361">
        <v>68</v>
      </c>
      <c r="AQ494" s="361">
        <v>197</v>
      </c>
      <c r="AR494" s="361">
        <v>566</v>
      </c>
      <c r="AS494" s="361">
        <f t="shared" ref="AS494:AS509" si="501">AT494</f>
        <v>862</v>
      </c>
      <c r="AT494" s="35">
        <v>862</v>
      </c>
      <c r="AU494" s="361">
        <v>464</v>
      </c>
      <c r="AV494" s="439">
        <v>1642</v>
      </c>
      <c r="AW494" s="726">
        <v>3301</v>
      </c>
      <c r="AX494" s="439">
        <f>AY494</f>
        <v>0</v>
      </c>
      <c r="AY494" s="440"/>
      <c r="AZ494" s="439"/>
      <c r="BA494" s="439"/>
      <c r="BB494" s="439"/>
      <c r="BC494" s="439">
        <f>BD494</f>
        <v>0</v>
      </c>
      <c r="BD494" s="440"/>
      <c r="BE494" s="440"/>
      <c r="BF494" s="440"/>
      <c r="BG494" s="440"/>
      <c r="BH494" s="361"/>
    </row>
    <row r="495" spans="1:60" s="356" customFormat="1" hidden="1" outlineLevel="1" x14ac:dyDescent="0.25">
      <c r="A495" s="360" t="s">
        <v>172</v>
      </c>
      <c r="B495" s="450"/>
      <c r="C495" s="35">
        <v>6.94</v>
      </c>
      <c r="D495" s="35">
        <v>10.622999999999999</v>
      </c>
      <c r="E495" s="35">
        <v>16.919</v>
      </c>
      <c r="F495" s="35">
        <v>28.824999999999999</v>
      </c>
      <c r="G495" s="361">
        <v>17.850000000000001</v>
      </c>
      <c r="H495" s="361">
        <v>40.048000000000002</v>
      </c>
      <c r="I495" s="361">
        <v>68.498000000000005</v>
      </c>
      <c r="J495" s="361">
        <f>K495</f>
        <v>106.083</v>
      </c>
      <c r="K495" s="35">
        <v>106.083</v>
      </c>
      <c r="L495" s="361">
        <v>44.268000000000001</v>
      </c>
      <c r="M495" s="361">
        <v>98.983000000000004</v>
      </c>
      <c r="N495" s="361">
        <v>163.95500000000001</v>
      </c>
      <c r="O495" s="361">
        <f>P495</f>
        <v>231.93100000000001</v>
      </c>
      <c r="P495" s="35">
        <v>231.93100000000001</v>
      </c>
      <c r="Q495" s="361">
        <v>77.111999999999995</v>
      </c>
      <c r="R495" s="361">
        <v>168.501</v>
      </c>
      <c r="S495" s="361">
        <v>278.86700000000002</v>
      </c>
      <c r="T495" s="361">
        <f>U495</f>
        <v>422.59</v>
      </c>
      <c r="U495" s="35">
        <v>422.59</v>
      </c>
      <c r="V495" s="361">
        <v>156.46</v>
      </c>
      <c r="W495" s="361">
        <v>339.69200000000001</v>
      </c>
      <c r="X495" s="361">
        <v>620.16</v>
      </c>
      <c r="Y495" s="361">
        <f>Z495</f>
        <v>947.09900000000005</v>
      </c>
      <c r="Z495" s="35">
        <v>947.09900000000005</v>
      </c>
      <c r="AA495" s="361">
        <v>376.60199999999998</v>
      </c>
      <c r="AB495" s="361">
        <v>765.77300000000002</v>
      </c>
      <c r="AC495" s="361">
        <v>1166.3969999999999</v>
      </c>
      <c r="AD495" s="361">
        <f>AE495</f>
        <v>1636.0029999999999</v>
      </c>
      <c r="AE495" s="35">
        <v>1636.0029999999999</v>
      </c>
      <c r="AF495" s="361">
        <v>416.233</v>
      </c>
      <c r="AG495" s="361">
        <v>901.48800000000006</v>
      </c>
      <c r="AH495" s="361">
        <v>1404.3130000000001</v>
      </c>
      <c r="AI495" s="361">
        <f>AJ495</f>
        <v>1901.05</v>
      </c>
      <c r="AJ495" s="35">
        <v>1901.05</v>
      </c>
      <c r="AK495" s="361">
        <v>467.577</v>
      </c>
      <c r="AL495" s="361">
        <v>1046.1489999999999</v>
      </c>
      <c r="AM495" s="361">
        <v>1577</v>
      </c>
      <c r="AN495" s="361">
        <f t="shared" si="500"/>
        <v>2154</v>
      </c>
      <c r="AO495" s="35">
        <v>2154</v>
      </c>
      <c r="AP495" s="361">
        <v>553</v>
      </c>
      <c r="AQ495" s="361">
        <v>1120</v>
      </c>
      <c r="AR495" s="361">
        <v>1704</v>
      </c>
      <c r="AS495" s="361">
        <f t="shared" si="501"/>
        <v>2322</v>
      </c>
      <c r="AT495" s="35">
        <v>2322</v>
      </c>
      <c r="AU495" s="361">
        <v>621</v>
      </c>
      <c r="AV495" s="439">
        <v>1302</v>
      </c>
      <c r="AW495" s="726">
        <v>2063</v>
      </c>
      <c r="AX495" s="439">
        <f>AY495</f>
        <v>0</v>
      </c>
      <c r="AY495" s="440"/>
      <c r="AZ495" s="439"/>
      <c r="BA495" s="439"/>
      <c r="BB495" s="439"/>
      <c r="BC495" s="439">
        <f>BD495</f>
        <v>0</v>
      </c>
      <c r="BD495" s="440"/>
      <c r="BE495" s="440"/>
      <c r="BF495" s="440"/>
      <c r="BG495" s="440"/>
      <c r="BH495" s="361"/>
    </row>
    <row r="496" spans="1:60" s="356" customFormat="1" hidden="1" outlineLevel="1" x14ac:dyDescent="0.25">
      <c r="A496" s="360" t="s">
        <v>173</v>
      </c>
      <c r="B496" s="450"/>
      <c r="C496" s="35">
        <v>1.4339999999999999</v>
      </c>
      <c r="D496" s="35">
        <v>21.155999999999999</v>
      </c>
      <c r="E496" s="35">
        <v>29.419</v>
      </c>
      <c r="F496" s="35">
        <v>50.145000000000003</v>
      </c>
      <c r="G496" s="361">
        <v>14.868</v>
      </c>
      <c r="H496" s="361">
        <v>34.582000000000001</v>
      </c>
      <c r="I496" s="361">
        <v>55.566000000000003</v>
      </c>
      <c r="J496" s="361">
        <f>K496</f>
        <v>80.736999999999995</v>
      </c>
      <c r="K496" s="35">
        <v>80.736999999999995</v>
      </c>
      <c r="L496" s="361">
        <v>37.037999999999997</v>
      </c>
      <c r="M496" s="361">
        <v>72.822000000000003</v>
      </c>
      <c r="N496" s="361">
        <v>111.98</v>
      </c>
      <c r="O496" s="361">
        <f>P496</f>
        <v>156.49600000000001</v>
      </c>
      <c r="P496" s="35">
        <v>156.49600000000001</v>
      </c>
      <c r="Q496" s="361">
        <v>43.026000000000003</v>
      </c>
      <c r="R496" s="361">
        <v>86.326999999999998</v>
      </c>
      <c r="S496" s="361">
        <v>142.35900000000001</v>
      </c>
      <c r="T496" s="361">
        <f>U496</f>
        <v>197.999</v>
      </c>
      <c r="U496" s="35">
        <v>197.999</v>
      </c>
      <c r="V496" s="361">
        <v>89.658000000000001</v>
      </c>
      <c r="W496" s="361">
        <v>156.96899999999999</v>
      </c>
      <c r="X496" s="361">
        <v>246.512</v>
      </c>
      <c r="Y496" s="361">
        <f>Z496</f>
        <v>334.22500000000002</v>
      </c>
      <c r="Z496" s="35">
        <v>334.22500000000002</v>
      </c>
      <c r="AA496" s="361">
        <v>103.717</v>
      </c>
      <c r="AB496" s="361">
        <v>219.75899999999999</v>
      </c>
      <c r="AC496" s="361">
        <v>332.41199999999998</v>
      </c>
      <c r="AD496" s="361">
        <f>AE496</f>
        <v>466.76</v>
      </c>
      <c r="AE496" s="35">
        <v>466.76</v>
      </c>
      <c r="AF496" s="361">
        <v>141.63900000000001</v>
      </c>
      <c r="AG496" s="361">
        <v>338.983</v>
      </c>
      <c r="AH496" s="361">
        <v>543.71100000000001</v>
      </c>
      <c r="AI496" s="361">
        <f>AJ496</f>
        <v>749.024</v>
      </c>
      <c r="AJ496" s="35">
        <v>749.024</v>
      </c>
      <c r="AK496" s="361">
        <v>208.37799999999999</v>
      </c>
      <c r="AL496" s="361">
        <v>418.24099999999999</v>
      </c>
      <c r="AM496" s="361">
        <v>617</v>
      </c>
      <c r="AN496" s="361">
        <f t="shared" si="500"/>
        <v>898</v>
      </c>
      <c r="AO496" s="35">
        <v>898</v>
      </c>
      <c r="AP496" s="361">
        <v>211</v>
      </c>
      <c r="AQ496" s="361">
        <v>558</v>
      </c>
      <c r="AR496" s="361">
        <v>1101</v>
      </c>
      <c r="AS496" s="361">
        <f t="shared" si="501"/>
        <v>1734</v>
      </c>
      <c r="AT496" s="35">
        <v>1734</v>
      </c>
      <c r="AU496" s="361">
        <v>614</v>
      </c>
      <c r="AV496" s="439">
        <v>1088</v>
      </c>
      <c r="AW496" s="726">
        <v>1563</v>
      </c>
      <c r="AX496" s="439">
        <f>AY496</f>
        <v>0</v>
      </c>
      <c r="AY496" s="440"/>
      <c r="AZ496" s="439"/>
      <c r="BA496" s="439"/>
      <c r="BB496" s="439"/>
      <c r="BC496" s="439">
        <f>BD496</f>
        <v>0</v>
      </c>
      <c r="BD496" s="440"/>
      <c r="BE496" s="440"/>
      <c r="BF496" s="440"/>
      <c r="BG496" s="440"/>
      <c r="BH496" s="361"/>
    </row>
    <row r="497" spans="1:60" s="356" customFormat="1" hidden="1" outlineLevel="1" x14ac:dyDescent="0.25">
      <c r="A497" s="360" t="s">
        <v>174</v>
      </c>
      <c r="B497" s="450"/>
      <c r="C497" s="440"/>
      <c r="D497" s="440"/>
      <c r="E497" s="440"/>
      <c r="F497" s="440"/>
      <c r="G497" s="439"/>
      <c r="H497" s="439"/>
      <c r="I497" s="439"/>
      <c r="J497" s="439"/>
      <c r="K497" s="440"/>
      <c r="L497" s="439"/>
      <c r="M497" s="439"/>
      <c r="N497" s="439"/>
      <c r="O497" s="439"/>
      <c r="P497" s="440"/>
      <c r="Q497" s="439"/>
      <c r="R497" s="439"/>
      <c r="S497" s="439"/>
      <c r="T497" s="439"/>
      <c r="U497" s="440"/>
      <c r="V497" s="439"/>
      <c r="W497" s="439"/>
      <c r="X497" s="439"/>
      <c r="Y497" s="361">
        <f>Z497</f>
        <v>-88.727000000000004</v>
      </c>
      <c r="Z497" s="35">
        <v>-88.727000000000004</v>
      </c>
      <c r="AA497" s="361">
        <v>11.571</v>
      </c>
      <c r="AB497" s="361">
        <v>11.571</v>
      </c>
      <c r="AC497" s="361">
        <v>29.795999999999999</v>
      </c>
      <c r="AD497" s="361">
        <f>AE497</f>
        <v>57.746000000000002</v>
      </c>
      <c r="AE497" s="35">
        <v>57.746000000000002</v>
      </c>
      <c r="AF497" s="439"/>
      <c r="AG497" s="361">
        <v>0</v>
      </c>
      <c r="AH497" s="439"/>
      <c r="AI497" s="361">
        <f>AJ497</f>
        <v>0</v>
      </c>
      <c r="AJ497" s="35">
        <v>0</v>
      </c>
      <c r="AK497" s="439"/>
      <c r="AL497" s="439"/>
      <c r="AM497" s="439"/>
      <c r="AN497" s="361">
        <f t="shared" si="500"/>
        <v>0</v>
      </c>
      <c r="AO497" s="440"/>
      <c r="AP497" s="439"/>
      <c r="AQ497" s="439"/>
      <c r="AR497" s="439"/>
      <c r="AS497" s="361">
        <f t="shared" si="501"/>
        <v>0</v>
      </c>
      <c r="AT497" s="440"/>
      <c r="AU497" s="439"/>
      <c r="AV497" s="439"/>
      <c r="AW497" s="726"/>
      <c r="AX497" s="439"/>
      <c r="AY497" s="440"/>
      <c r="AZ497" s="439"/>
      <c r="BA497" s="439"/>
      <c r="BB497" s="439"/>
      <c r="BC497" s="439"/>
      <c r="BD497" s="440"/>
      <c r="BE497" s="440"/>
      <c r="BF497" s="440"/>
      <c r="BG497" s="440"/>
      <c r="BH497" s="361"/>
    </row>
    <row r="498" spans="1:60" s="356" customFormat="1" hidden="1" outlineLevel="1" x14ac:dyDescent="0.25">
      <c r="A498" s="360" t="s">
        <v>175</v>
      </c>
      <c r="B498" s="450"/>
      <c r="C498" s="440"/>
      <c r="D498" s="440"/>
      <c r="E498" s="440"/>
      <c r="F498" s="440"/>
      <c r="G498" s="439"/>
      <c r="H498" s="439"/>
      <c r="I498" s="439"/>
      <c r="J498" s="439"/>
      <c r="K498" s="440"/>
      <c r="L498" s="439"/>
      <c r="M498" s="439"/>
      <c r="N498" s="439"/>
      <c r="O498" s="439"/>
      <c r="P498" s="440"/>
      <c r="Q498" s="439"/>
      <c r="R498" s="439"/>
      <c r="S498" s="439"/>
      <c r="T498" s="439"/>
      <c r="U498" s="440"/>
      <c r="V498" s="439"/>
      <c r="W498" s="439"/>
      <c r="X498" s="439"/>
      <c r="Y498" s="439"/>
      <c r="Z498" s="440"/>
      <c r="AA498" s="439"/>
      <c r="AB498" s="439"/>
      <c r="AC498" s="439"/>
      <c r="AD498" s="439"/>
      <c r="AE498" s="440"/>
      <c r="AF498" s="439"/>
      <c r="AG498" s="439"/>
      <c r="AH498" s="439"/>
      <c r="AI498" s="439"/>
      <c r="AJ498" s="440"/>
      <c r="AK498" s="361">
        <v>-188.107</v>
      </c>
      <c r="AL498" s="361">
        <v>-188.107</v>
      </c>
      <c r="AM498" s="361">
        <v>-188</v>
      </c>
      <c r="AN498" s="361">
        <f t="shared" si="500"/>
        <v>-188</v>
      </c>
      <c r="AO498" s="35">
        <v>-188</v>
      </c>
      <c r="AP498" s="439"/>
      <c r="AQ498" s="439"/>
      <c r="AR498" s="439"/>
      <c r="AS498" s="361">
        <f t="shared" si="501"/>
        <v>0</v>
      </c>
      <c r="AT498" s="440"/>
      <c r="AU498" s="439"/>
      <c r="AV498" s="439"/>
      <c r="AW498" s="726"/>
      <c r="AX498" s="439"/>
      <c r="AY498" s="440"/>
      <c r="AZ498" s="439"/>
      <c r="BA498" s="439"/>
      <c r="BB498" s="439"/>
      <c r="BC498" s="439"/>
      <c r="BD498" s="440"/>
      <c r="BE498" s="440"/>
      <c r="BF498" s="440"/>
      <c r="BG498" s="440"/>
      <c r="BH498" s="361"/>
    </row>
    <row r="499" spans="1:60" s="356" customFormat="1" hidden="1" outlineLevel="1" x14ac:dyDescent="0.25">
      <c r="A499" s="360" t="s">
        <v>176</v>
      </c>
      <c r="B499" s="450"/>
      <c r="C499" s="35">
        <v>1.353</v>
      </c>
      <c r="D499" s="35">
        <v>0.95099999999999996</v>
      </c>
      <c r="E499" s="35">
        <v>1.8280000000000001</v>
      </c>
      <c r="F499" s="35">
        <v>4.9290000000000003</v>
      </c>
      <c r="G499" s="361">
        <v>1.532</v>
      </c>
      <c r="H499" s="361">
        <v>5.5890000000000004</v>
      </c>
      <c r="I499" s="361">
        <v>6.7880000000000003</v>
      </c>
      <c r="J499" s="361">
        <f t="shared" ref="J499:J506" si="502">K499</f>
        <v>8.9179999999999993</v>
      </c>
      <c r="K499" s="35">
        <v>8.9179999999999993</v>
      </c>
      <c r="L499" s="361">
        <v>1.5780000000000001</v>
      </c>
      <c r="M499" s="361">
        <v>3.85</v>
      </c>
      <c r="N499" s="361">
        <v>14.494999999999999</v>
      </c>
      <c r="O499" s="361">
        <f t="shared" ref="O499:O506" si="503">P499</f>
        <v>15.609</v>
      </c>
      <c r="P499" s="35">
        <v>15.609</v>
      </c>
      <c r="Q499" s="361">
        <v>5.9009999999999998</v>
      </c>
      <c r="R499" s="361">
        <v>15.95</v>
      </c>
      <c r="S499" s="361">
        <v>23.303000000000001</v>
      </c>
      <c r="T499" s="361">
        <f t="shared" ref="T499:T506" si="504">U499</f>
        <v>44.94</v>
      </c>
      <c r="U499" s="35">
        <v>44.94</v>
      </c>
      <c r="V499" s="361">
        <v>13.01</v>
      </c>
      <c r="W499" s="361">
        <v>29.725000000000001</v>
      </c>
      <c r="X499" s="361">
        <v>50.289000000000001</v>
      </c>
      <c r="Y499" s="361">
        <f t="shared" ref="Y499:Y506" si="505">Z499</f>
        <v>65.52</v>
      </c>
      <c r="Z499" s="35">
        <v>65.52</v>
      </c>
      <c r="AA499" s="361">
        <v>26.917999999999999</v>
      </c>
      <c r="AB499" s="361">
        <v>71.254999999999995</v>
      </c>
      <c r="AC499" s="361">
        <v>98.346999999999994</v>
      </c>
      <c r="AD499" s="361">
        <f t="shared" ref="AD499:AD506" si="506">AE499</f>
        <v>131.66499999999999</v>
      </c>
      <c r="AE499" s="35">
        <v>131.66499999999999</v>
      </c>
      <c r="AF499" s="361">
        <v>18.545999999999999</v>
      </c>
      <c r="AG499" s="361">
        <v>46.097999999999999</v>
      </c>
      <c r="AH499" s="361">
        <v>59.982999999999997</v>
      </c>
      <c r="AI499" s="361">
        <f t="shared" ref="AI499:AI509" si="507">AJ499</f>
        <v>85.272000000000006</v>
      </c>
      <c r="AJ499" s="35">
        <v>85.272000000000006</v>
      </c>
      <c r="AK499" s="361">
        <v>80.843000000000004</v>
      </c>
      <c r="AL499" s="361">
        <v>115.672</v>
      </c>
      <c r="AM499" s="361">
        <v>167</v>
      </c>
      <c r="AN499" s="361">
        <f t="shared" si="500"/>
        <v>193</v>
      </c>
      <c r="AO499" s="35">
        <v>193</v>
      </c>
      <c r="AP499" s="361">
        <v>45</v>
      </c>
      <c r="AQ499" s="361">
        <v>88</v>
      </c>
      <c r="AR499" s="361">
        <v>140</v>
      </c>
      <c r="AS499" s="361">
        <f t="shared" si="501"/>
        <v>202</v>
      </c>
      <c r="AT499" s="35">
        <v>202</v>
      </c>
      <c r="AU499" s="439">
        <v>49</v>
      </c>
      <c r="AV499" s="439">
        <v>88</v>
      </c>
      <c r="AW499" s="726">
        <v>128</v>
      </c>
      <c r="AX499" s="439">
        <f>AY499</f>
        <v>0</v>
      </c>
      <c r="AY499" s="440"/>
      <c r="AZ499" s="439"/>
      <c r="BA499" s="439"/>
      <c r="BB499" s="439"/>
      <c r="BC499" s="439">
        <f>BD499</f>
        <v>0</v>
      </c>
      <c r="BD499" s="440"/>
      <c r="BE499" s="440"/>
      <c r="BF499" s="440"/>
      <c r="BG499" s="440"/>
      <c r="BH499" s="361"/>
    </row>
    <row r="500" spans="1:60" s="356" customFormat="1" hidden="1" outlineLevel="1" x14ac:dyDescent="0.25">
      <c r="A500" s="259" t="s">
        <v>177</v>
      </c>
      <c r="B500" s="450"/>
      <c r="C500" s="35">
        <v>2.6859999999999999</v>
      </c>
      <c r="D500" s="35">
        <v>8.0000000000000002E-3</v>
      </c>
      <c r="E500" s="35">
        <v>0.34499999999999997</v>
      </c>
      <c r="F500" s="35">
        <v>0</v>
      </c>
      <c r="G500" s="439"/>
      <c r="H500" s="361">
        <v>1.5820000000000001</v>
      </c>
      <c r="I500" s="361">
        <v>5.3440000000000003</v>
      </c>
      <c r="J500" s="361">
        <f t="shared" si="502"/>
        <v>9.1430000000000007</v>
      </c>
      <c r="K500" s="35">
        <v>9.1430000000000007</v>
      </c>
      <c r="L500" s="361">
        <v>8.4930000000000003</v>
      </c>
      <c r="M500" s="361">
        <v>32.101999999999997</v>
      </c>
      <c r="N500" s="361">
        <v>55.634</v>
      </c>
      <c r="O500" s="361">
        <f t="shared" si="503"/>
        <v>69.733999999999995</v>
      </c>
      <c r="P500" s="35">
        <v>69.733999999999995</v>
      </c>
      <c r="Q500" s="361">
        <v>17.940999999999999</v>
      </c>
      <c r="R500" s="361">
        <v>33.712000000000003</v>
      </c>
      <c r="S500" s="361">
        <v>51.375999999999998</v>
      </c>
      <c r="T500" s="361">
        <f t="shared" si="504"/>
        <v>72.063000000000002</v>
      </c>
      <c r="U500" s="35">
        <v>72.063000000000002</v>
      </c>
      <c r="V500" s="361">
        <v>20.613</v>
      </c>
      <c r="W500" s="361">
        <v>41.695999999999998</v>
      </c>
      <c r="X500" s="361">
        <v>63.923999999999999</v>
      </c>
      <c r="Y500" s="361">
        <f t="shared" si="505"/>
        <v>87.286000000000001</v>
      </c>
      <c r="Z500" s="35">
        <v>87.286000000000001</v>
      </c>
      <c r="AA500" s="361">
        <v>30.337</v>
      </c>
      <c r="AB500" s="361">
        <v>64.150999999999996</v>
      </c>
      <c r="AC500" s="361">
        <v>60.613</v>
      </c>
      <c r="AD500" s="361">
        <f t="shared" si="506"/>
        <v>91.037000000000006</v>
      </c>
      <c r="AE500" s="35">
        <v>91.037000000000006</v>
      </c>
      <c r="AF500" s="361">
        <v>39.344999999999999</v>
      </c>
      <c r="AG500" s="361">
        <v>74.418999999999997</v>
      </c>
      <c r="AH500" s="361">
        <v>120.873</v>
      </c>
      <c r="AI500" s="361">
        <f t="shared" si="507"/>
        <v>158.72999999999999</v>
      </c>
      <c r="AJ500" s="35">
        <v>158.72999999999999</v>
      </c>
      <c r="AK500" s="361">
        <v>40.107999999999997</v>
      </c>
      <c r="AL500" s="361">
        <v>82.123000000000005</v>
      </c>
      <c r="AM500" s="361">
        <v>138</v>
      </c>
      <c r="AN500" s="361">
        <f t="shared" si="500"/>
        <v>188</v>
      </c>
      <c r="AO500" s="35">
        <v>188</v>
      </c>
      <c r="AP500" s="361">
        <v>46</v>
      </c>
      <c r="AQ500" s="361">
        <v>94</v>
      </c>
      <c r="AR500" s="361">
        <v>144</v>
      </c>
      <c r="AS500" s="361">
        <f t="shared" si="501"/>
        <v>180</v>
      </c>
      <c r="AT500" s="35">
        <v>180</v>
      </c>
      <c r="AU500" s="439"/>
      <c r="AV500" s="439"/>
      <c r="AW500" s="726"/>
      <c r="AX500" s="439"/>
      <c r="AY500" s="440"/>
      <c r="AZ500" s="439"/>
      <c r="BA500" s="439"/>
      <c r="BB500" s="439"/>
      <c r="BC500" s="439"/>
      <c r="BD500" s="440"/>
      <c r="BE500" s="440"/>
      <c r="BF500" s="440"/>
      <c r="BG500" s="440"/>
      <c r="BH500" s="361"/>
    </row>
    <row r="501" spans="1:60" s="356" customFormat="1" hidden="1" outlineLevel="1" x14ac:dyDescent="0.25">
      <c r="A501" s="259" t="s">
        <v>181</v>
      </c>
      <c r="B501" s="450"/>
      <c r="C501" s="35">
        <v>0.38500000000000001</v>
      </c>
      <c r="D501" s="440"/>
      <c r="E501" s="35">
        <v>-0.112</v>
      </c>
      <c r="F501" s="440"/>
      <c r="G501" s="439"/>
      <c r="H501" s="361">
        <v>0.155</v>
      </c>
      <c r="I501" s="361">
        <v>1.0169999999999999</v>
      </c>
      <c r="J501" s="361">
        <f>K501</f>
        <v>1.796</v>
      </c>
      <c r="K501" s="35">
        <v>1.796</v>
      </c>
      <c r="L501" s="439"/>
      <c r="M501" s="361">
        <v>6.3049999999999997</v>
      </c>
      <c r="N501" s="361">
        <v>11.052</v>
      </c>
      <c r="O501" s="361">
        <f>P501</f>
        <v>14.178000000000001</v>
      </c>
      <c r="P501" s="35">
        <v>14.178000000000001</v>
      </c>
      <c r="Q501" s="361">
        <v>2.7530000000000001</v>
      </c>
      <c r="R501" s="361">
        <v>4.9909999999999997</v>
      </c>
      <c r="S501" s="361">
        <v>8.8000000000000007</v>
      </c>
      <c r="T501" s="361">
        <f>U501</f>
        <v>37.722999999999999</v>
      </c>
      <c r="U501" s="35">
        <v>37.722999999999999</v>
      </c>
      <c r="V501" s="361">
        <v>26.170999999999999</v>
      </c>
      <c r="W501" s="361">
        <v>11.563000000000001</v>
      </c>
      <c r="X501" s="361">
        <v>12.180999999999999</v>
      </c>
      <c r="Y501" s="361">
        <f>Z501</f>
        <v>34.633000000000003</v>
      </c>
      <c r="Z501" s="35">
        <v>34.633000000000003</v>
      </c>
      <c r="AA501" s="361">
        <v>41.12</v>
      </c>
      <c r="AB501" s="361">
        <v>53.572000000000003</v>
      </c>
      <c r="AC501" s="361">
        <v>59.64</v>
      </c>
      <c r="AD501" s="361">
        <f>AE501</f>
        <v>105.77</v>
      </c>
      <c r="AE501" s="35">
        <v>105.77</v>
      </c>
      <c r="AF501" s="361">
        <v>52.237000000000002</v>
      </c>
      <c r="AG501" s="361">
        <v>118.85</v>
      </c>
      <c r="AH501" s="361">
        <v>132.63900000000001</v>
      </c>
      <c r="AI501" s="361">
        <f>AJ501</f>
        <v>161.36099999999999</v>
      </c>
      <c r="AJ501" s="35">
        <v>161.36099999999999</v>
      </c>
      <c r="AK501" s="361">
        <v>18.420999999999999</v>
      </c>
      <c r="AL501" s="361">
        <v>47.930999999999997</v>
      </c>
      <c r="AM501" s="361">
        <v>69</v>
      </c>
      <c r="AN501" s="361">
        <f>AO501</f>
        <v>146</v>
      </c>
      <c r="AO501" s="35">
        <v>146</v>
      </c>
      <c r="AP501" s="361">
        <v>7</v>
      </c>
      <c r="AQ501" s="361">
        <v>12</v>
      </c>
      <c r="AR501" s="361">
        <v>67</v>
      </c>
      <c r="AS501" s="361">
        <f>AT501</f>
        <v>117</v>
      </c>
      <c r="AT501" s="35">
        <v>117</v>
      </c>
      <c r="AU501" s="439"/>
      <c r="AV501" s="439"/>
      <c r="AW501" s="726"/>
      <c r="AX501" s="439">
        <f>AY501</f>
        <v>0</v>
      </c>
      <c r="AY501" s="440"/>
      <c r="AZ501" s="439"/>
      <c r="BA501" s="439"/>
      <c r="BB501" s="439"/>
      <c r="BC501" s="439">
        <f>BD501</f>
        <v>0</v>
      </c>
      <c r="BD501" s="440"/>
      <c r="BE501" s="440"/>
      <c r="BF501" s="440"/>
      <c r="BG501" s="440"/>
      <c r="BH501" s="361"/>
    </row>
    <row r="502" spans="1:60" s="356" customFormat="1" hidden="1" outlineLevel="1" x14ac:dyDescent="0.25">
      <c r="A502" s="259" t="s">
        <v>182</v>
      </c>
      <c r="B502" s="450"/>
      <c r="C502" s="440"/>
      <c r="D502" s="440"/>
      <c r="E502" s="440"/>
      <c r="F502" s="35">
        <v>1.56</v>
      </c>
      <c r="G502" s="361">
        <v>0.39</v>
      </c>
      <c r="H502" s="361">
        <v>0.44500000000000001</v>
      </c>
      <c r="I502" s="361">
        <v>1.1879999999999999</v>
      </c>
      <c r="J502" s="361">
        <f>K502</f>
        <v>1.8149999999999999</v>
      </c>
      <c r="K502" s="35">
        <v>1.8149999999999999</v>
      </c>
      <c r="L502" s="361">
        <v>2.5609999999999999</v>
      </c>
      <c r="M502" s="361">
        <v>3.6619999999999999</v>
      </c>
      <c r="N502" s="361">
        <v>4.5030000000000001</v>
      </c>
      <c r="O502" s="361">
        <f>P502</f>
        <v>7.4710000000000001</v>
      </c>
      <c r="P502" s="35">
        <v>7.4710000000000001</v>
      </c>
      <c r="Q502" s="361">
        <v>2.8620000000000001</v>
      </c>
      <c r="R502" s="361">
        <v>6.0819999999999999</v>
      </c>
      <c r="S502" s="361">
        <v>11.010999999999999</v>
      </c>
      <c r="T502" s="361">
        <f>U502</f>
        <v>26.373000000000001</v>
      </c>
      <c r="U502" s="35">
        <v>26.373000000000001</v>
      </c>
      <c r="V502" s="361">
        <v>7.1349999999999998</v>
      </c>
      <c r="W502" s="361">
        <v>16.167000000000002</v>
      </c>
      <c r="X502" s="361">
        <v>21.734999999999999</v>
      </c>
      <c r="Y502" s="361">
        <f>Z502</f>
        <v>-7.7750000000000004</v>
      </c>
      <c r="Z502" s="35">
        <v>-7.7750000000000004</v>
      </c>
      <c r="AA502" s="361">
        <v>-5.1790000000000003</v>
      </c>
      <c r="AB502" s="361">
        <v>57.023000000000003</v>
      </c>
      <c r="AC502" s="361">
        <v>109.729</v>
      </c>
      <c r="AD502" s="361">
        <f>AE502</f>
        <v>135.23699999999999</v>
      </c>
      <c r="AE502" s="35">
        <v>135.23699999999999</v>
      </c>
      <c r="AF502" s="361">
        <v>-3.984</v>
      </c>
      <c r="AG502" s="361">
        <v>5.6849999999999996</v>
      </c>
      <c r="AH502" s="361">
        <v>22.093</v>
      </c>
      <c r="AI502" s="361">
        <f>AJ502</f>
        <v>48.506999999999998</v>
      </c>
      <c r="AJ502" s="35">
        <v>48.506999999999998</v>
      </c>
      <c r="AK502" s="361">
        <v>116.05</v>
      </c>
      <c r="AL502" s="361">
        <v>158.69900000000001</v>
      </c>
      <c r="AM502" s="361">
        <v>189</v>
      </c>
      <c r="AN502" s="361">
        <f>AO502</f>
        <v>186</v>
      </c>
      <c r="AO502" s="35">
        <v>186</v>
      </c>
      <c r="AP502" s="361">
        <v>58</v>
      </c>
      <c r="AQ502" s="361">
        <v>110</v>
      </c>
      <c r="AR502" s="361">
        <v>116</v>
      </c>
      <c r="AS502" s="361">
        <f>AT502</f>
        <v>228</v>
      </c>
      <c r="AT502" s="35">
        <v>228</v>
      </c>
      <c r="AU502" s="439">
        <v>8</v>
      </c>
      <c r="AV502" s="439"/>
      <c r="AW502" s="726"/>
      <c r="AX502" s="439">
        <f>AY502</f>
        <v>0</v>
      </c>
      <c r="AY502" s="440"/>
      <c r="AZ502" s="439"/>
      <c r="BA502" s="439"/>
      <c r="BB502" s="439"/>
      <c r="BC502" s="439">
        <f>BD502</f>
        <v>0</v>
      </c>
      <c r="BD502" s="440"/>
      <c r="BE502" s="440"/>
      <c r="BF502" s="440"/>
      <c r="BG502" s="440"/>
      <c r="BH502" s="361"/>
    </row>
    <row r="503" spans="1:60" s="356" customFormat="1" hidden="1" outlineLevel="1" x14ac:dyDescent="0.25">
      <c r="A503" s="814" t="s">
        <v>600</v>
      </c>
      <c r="B503" s="552"/>
      <c r="C503" s="478">
        <f t="shared" ref="C503:AP503" si="508">C500+C501+C502</f>
        <v>3.0709999999999997</v>
      </c>
      <c r="D503" s="478">
        <f t="shared" si="508"/>
        <v>8.0000000000000002E-3</v>
      </c>
      <c r="E503" s="478">
        <f t="shared" si="508"/>
        <v>0.23299999999999998</v>
      </c>
      <c r="F503" s="774">
        <f t="shared" si="508"/>
        <v>1.56</v>
      </c>
      <c r="G503" s="775">
        <f t="shared" si="508"/>
        <v>0.39</v>
      </c>
      <c r="H503" s="775">
        <f t="shared" si="508"/>
        <v>2.1819999999999999</v>
      </c>
      <c r="I503" s="775">
        <f t="shared" si="508"/>
        <v>7.5490000000000004</v>
      </c>
      <c r="J503" s="775">
        <f t="shared" si="508"/>
        <v>12.754</v>
      </c>
      <c r="K503" s="774">
        <f t="shared" si="508"/>
        <v>12.754</v>
      </c>
      <c r="L503" s="775">
        <f t="shared" si="508"/>
        <v>11.054</v>
      </c>
      <c r="M503" s="775">
        <f t="shared" si="508"/>
        <v>42.068999999999996</v>
      </c>
      <c r="N503" s="775">
        <f t="shared" si="508"/>
        <v>71.189000000000007</v>
      </c>
      <c r="O503" s="775">
        <f t="shared" si="508"/>
        <v>91.382999999999996</v>
      </c>
      <c r="P503" s="774">
        <f t="shared" si="508"/>
        <v>91.382999999999996</v>
      </c>
      <c r="Q503" s="775">
        <f t="shared" si="508"/>
        <v>23.555999999999997</v>
      </c>
      <c r="R503" s="775">
        <f t="shared" si="508"/>
        <v>44.785000000000004</v>
      </c>
      <c r="S503" s="775">
        <f t="shared" si="508"/>
        <v>71.186999999999998</v>
      </c>
      <c r="T503" s="775">
        <f t="shared" si="508"/>
        <v>136.15899999999999</v>
      </c>
      <c r="U503" s="774">
        <f t="shared" si="508"/>
        <v>136.15899999999999</v>
      </c>
      <c r="V503" s="775">
        <f t="shared" si="508"/>
        <v>53.918999999999997</v>
      </c>
      <c r="W503" s="775">
        <f t="shared" si="508"/>
        <v>69.426000000000002</v>
      </c>
      <c r="X503" s="775">
        <f t="shared" si="508"/>
        <v>97.84</v>
      </c>
      <c r="Y503" s="775">
        <f t="shared" si="508"/>
        <v>114.14400000000001</v>
      </c>
      <c r="Z503" s="774">
        <f t="shared" si="508"/>
        <v>114.14400000000001</v>
      </c>
      <c r="AA503" s="775">
        <f t="shared" si="508"/>
        <v>66.277999999999992</v>
      </c>
      <c r="AB503" s="775">
        <f t="shared" si="508"/>
        <v>174.74600000000001</v>
      </c>
      <c r="AC503" s="775">
        <f t="shared" si="508"/>
        <v>229.982</v>
      </c>
      <c r="AD503" s="775">
        <f t="shared" si="508"/>
        <v>332.04399999999998</v>
      </c>
      <c r="AE503" s="774">
        <f t="shared" si="508"/>
        <v>332.04399999999998</v>
      </c>
      <c r="AF503" s="775">
        <f t="shared" si="508"/>
        <v>87.597999999999999</v>
      </c>
      <c r="AG503" s="775">
        <f t="shared" si="508"/>
        <v>198.95400000000001</v>
      </c>
      <c r="AH503" s="775">
        <f t="shared" si="508"/>
        <v>275.60500000000002</v>
      </c>
      <c r="AI503" s="775">
        <f t="shared" si="508"/>
        <v>368.59800000000001</v>
      </c>
      <c r="AJ503" s="774">
        <f t="shared" si="508"/>
        <v>368.59800000000001</v>
      </c>
      <c r="AK503" s="775">
        <f t="shared" si="508"/>
        <v>174.57900000000001</v>
      </c>
      <c r="AL503" s="775">
        <f t="shared" si="508"/>
        <v>288.75300000000004</v>
      </c>
      <c r="AM503" s="775">
        <f t="shared" si="508"/>
        <v>396</v>
      </c>
      <c r="AN503" s="775">
        <f t="shared" si="508"/>
        <v>520</v>
      </c>
      <c r="AO503" s="774">
        <f t="shared" si="508"/>
        <v>520</v>
      </c>
      <c r="AP503" s="775">
        <f t="shared" si="508"/>
        <v>111</v>
      </c>
      <c r="AQ503" s="775">
        <f>AQ500+AQ501+AQ502</f>
        <v>216</v>
      </c>
      <c r="AR503" s="775">
        <f t="shared" ref="AR503:AU503" si="509">AR500+AR501+AR502</f>
        <v>327</v>
      </c>
      <c r="AS503" s="775">
        <f t="shared" si="509"/>
        <v>525</v>
      </c>
      <c r="AT503" s="774">
        <f t="shared" si="509"/>
        <v>525</v>
      </c>
      <c r="AU503" s="464">
        <f t="shared" si="509"/>
        <v>8</v>
      </c>
      <c r="AV503" s="464">
        <v>60</v>
      </c>
      <c r="AW503" s="738">
        <v>213</v>
      </c>
      <c r="AX503" s="464"/>
      <c r="AY503" s="478"/>
      <c r="AZ503" s="464"/>
      <c r="BA503" s="464"/>
      <c r="BB503" s="464"/>
      <c r="BC503" s="464"/>
      <c r="BD503" s="478"/>
      <c r="BE503" s="478"/>
      <c r="BF503" s="478"/>
      <c r="BG503" s="478"/>
      <c r="BH503" s="361"/>
    </row>
    <row r="504" spans="1:60" s="356" customFormat="1" hidden="1" outlineLevel="1" x14ac:dyDescent="0.25">
      <c r="A504" s="360" t="s">
        <v>178</v>
      </c>
      <c r="B504" s="450"/>
      <c r="C504" s="440"/>
      <c r="D504" s="440"/>
      <c r="E504" s="440"/>
      <c r="F504" s="35">
        <v>0</v>
      </c>
      <c r="G504" s="439"/>
      <c r="H504" s="361">
        <v>5.5579999999999998</v>
      </c>
      <c r="I504" s="361">
        <v>5.5579999999999998</v>
      </c>
      <c r="J504" s="361">
        <f t="shared" si="502"/>
        <v>5.5579999999999998</v>
      </c>
      <c r="K504" s="35">
        <v>5.5579999999999998</v>
      </c>
      <c r="L504" s="439"/>
      <c r="M504" s="439"/>
      <c r="N504" s="439"/>
      <c r="O504" s="361">
        <f t="shared" si="503"/>
        <v>0</v>
      </c>
      <c r="P504" s="440"/>
      <c r="Q504" s="439"/>
      <c r="R504" s="439"/>
      <c r="S504" s="439"/>
      <c r="T504" s="361">
        <f t="shared" si="504"/>
        <v>0</v>
      </c>
      <c r="U504" s="440"/>
      <c r="V504" s="439"/>
      <c r="W504" s="439"/>
      <c r="X504" s="439"/>
      <c r="Y504" s="361">
        <f t="shared" si="505"/>
        <v>0</v>
      </c>
      <c r="Z504" s="440"/>
      <c r="AA504" s="439"/>
      <c r="AB504" s="439"/>
      <c r="AC504" s="439"/>
      <c r="AD504" s="361">
        <f t="shared" si="506"/>
        <v>0</v>
      </c>
      <c r="AE504" s="440"/>
      <c r="AF504" s="439"/>
      <c r="AG504" s="439"/>
      <c r="AH504" s="439"/>
      <c r="AI504" s="361">
        <f t="shared" si="507"/>
        <v>0</v>
      </c>
      <c r="AJ504" s="440"/>
      <c r="AK504" s="439"/>
      <c r="AL504" s="439"/>
      <c r="AM504" s="439"/>
      <c r="AN504" s="361">
        <f t="shared" si="500"/>
        <v>0</v>
      </c>
      <c r="AO504" s="440"/>
      <c r="AP504" s="439"/>
      <c r="AQ504" s="439"/>
      <c r="AR504" s="439"/>
      <c r="AS504" s="361">
        <f t="shared" si="501"/>
        <v>0</v>
      </c>
      <c r="AT504" s="440"/>
      <c r="AU504" s="439"/>
      <c r="AV504" s="439"/>
      <c r="AW504" s="726"/>
      <c r="AX504" s="439">
        <f>AY504</f>
        <v>0</v>
      </c>
      <c r="AY504" s="440"/>
      <c r="AZ504" s="439"/>
      <c r="BA504" s="439"/>
      <c r="BB504" s="439"/>
      <c r="BC504" s="439">
        <f>BD504</f>
        <v>0</v>
      </c>
      <c r="BD504" s="440"/>
      <c r="BE504" s="440"/>
      <c r="BF504" s="440"/>
      <c r="BG504" s="440"/>
      <c r="BH504" s="361"/>
    </row>
    <row r="505" spans="1:60" s="356" customFormat="1" hidden="1" outlineLevel="1" x14ac:dyDescent="0.25">
      <c r="A505" s="360" t="s">
        <v>179</v>
      </c>
      <c r="B505" s="450"/>
      <c r="C505" s="35">
        <v>1.1279999999999999</v>
      </c>
      <c r="D505" s="35">
        <v>5.0220000000000002</v>
      </c>
      <c r="E505" s="35">
        <v>2.75</v>
      </c>
      <c r="F505" s="35">
        <v>1.8540000000000001</v>
      </c>
      <c r="G505" s="361">
        <v>-10.692</v>
      </c>
      <c r="H505" s="361">
        <v>-10.692</v>
      </c>
      <c r="I505" s="361">
        <v>-10.692</v>
      </c>
      <c r="J505" s="361">
        <f t="shared" si="502"/>
        <v>-10.692</v>
      </c>
      <c r="K505" s="35">
        <v>-10.692</v>
      </c>
      <c r="L505" s="439"/>
      <c r="M505" s="439"/>
      <c r="N505" s="439"/>
      <c r="O505" s="361">
        <f t="shared" si="503"/>
        <v>0</v>
      </c>
      <c r="P505" s="440"/>
      <c r="Q505" s="439"/>
      <c r="R505" s="439"/>
      <c r="S505" s="439"/>
      <c r="T505" s="361">
        <f t="shared" si="504"/>
        <v>0</v>
      </c>
      <c r="U505" s="440"/>
      <c r="V505" s="439"/>
      <c r="W505" s="439"/>
      <c r="X505" s="439"/>
      <c r="Y505" s="361">
        <f t="shared" si="505"/>
        <v>0</v>
      </c>
      <c r="Z505" s="440"/>
      <c r="AA505" s="439"/>
      <c r="AB505" s="439"/>
      <c r="AC505" s="439"/>
      <c r="AD505" s="361">
        <f t="shared" si="506"/>
        <v>0</v>
      </c>
      <c r="AE505" s="440"/>
      <c r="AF505" s="439"/>
      <c r="AG505" s="439"/>
      <c r="AH505" s="439"/>
      <c r="AI505" s="361">
        <f t="shared" si="507"/>
        <v>0</v>
      </c>
      <c r="AJ505" s="440"/>
      <c r="AK505" s="439"/>
      <c r="AL505" s="439"/>
      <c r="AM505" s="439"/>
      <c r="AN505" s="361">
        <f t="shared" si="500"/>
        <v>0</v>
      </c>
      <c r="AO505" s="440"/>
      <c r="AP505" s="439"/>
      <c r="AQ505" s="439"/>
      <c r="AR505" s="439"/>
      <c r="AS505" s="361">
        <f t="shared" si="501"/>
        <v>0</v>
      </c>
      <c r="AT505" s="440"/>
      <c r="AU505" s="439"/>
      <c r="AV505" s="439"/>
      <c r="AW505" s="726"/>
      <c r="AX505" s="439">
        <f>AY505</f>
        <v>0</v>
      </c>
      <c r="AY505" s="440"/>
      <c r="AZ505" s="439"/>
      <c r="BA505" s="439"/>
      <c r="BB505" s="439"/>
      <c r="BC505" s="439">
        <f>BD505</f>
        <v>0</v>
      </c>
      <c r="BD505" s="440"/>
      <c r="BE505" s="440"/>
      <c r="BF505" s="440"/>
      <c r="BG505" s="440"/>
      <c r="BH505" s="361"/>
    </row>
    <row r="506" spans="1:60" s="356" customFormat="1" hidden="1" outlineLevel="1" x14ac:dyDescent="0.25">
      <c r="A506" s="360" t="s">
        <v>180</v>
      </c>
      <c r="B506" s="450"/>
      <c r="C506" s="35">
        <v>-1.468</v>
      </c>
      <c r="D506" s="440"/>
      <c r="E506" s="440"/>
      <c r="F506" s="440"/>
      <c r="G506" s="439"/>
      <c r="H506" s="439"/>
      <c r="I506" s="439"/>
      <c r="J506" s="361">
        <f t="shared" si="502"/>
        <v>0</v>
      </c>
      <c r="K506" s="440"/>
      <c r="L506" s="439"/>
      <c r="M506" s="439"/>
      <c r="N506" s="439"/>
      <c r="O506" s="361">
        <f t="shared" si="503"/>
        <v>0</v>
      </c>
      <c r="P506" s="440"/>
      <c r="Q506" s="439"/>
      <c r="R506" s="439"/>
      <c r="S506" s="439"/>
      <c r="T506" s="361">
        <f t="shared" si="504"/>
        <v>0</v>
      </c>
      <c r="U506" s="440"/>
      <c r="V506" s="439"/>
      <c r="W506" s="439"/>
      <c r="X506" s="439"/>
      <c r="Y506" s="361">
        <f t="shared" si="505"/>
        <v>0</v>
      </c>
      <c r="Z506" s="440"/>
      <c r="AA506" s="439"/>
      <c r="AB506" s="439"/>
      <c r="AC506" s="439"/>
      <c r="AD506" s="361">
        <f t="shared" si="506"/>
        <v>0</v>
      </c>
      <c r="AE506" s="440"/>
      <c r="AF506" s="439"/>
      <c r="AG506" s="439"/>
      <c r="AH506" s="439"/>
      <c r="AI506" s="361">
        <f t="shared" si="507"/>
        <v>0</v>
      </c>
      <c r="AJ506" s="440"/>
      <c r="AK506" s="439"/>
      <c r="AL506" s="439"/>
      <c r="AM506" s="439"/>
      <c r="AN506" s="361">
        <f t="shared" si="500"/>
        <v>0</v>
      </c>
      <c r="AO506" s="440"/>
      <c r="AP506" s="439"/>
      <c r="AQ506" s="439"/>
      <c r="AR506" s="439"/>
      <c r="AS506" s="361">
        <f t="shared" si="501"/>
        <v>0</v>
      </c>
      <c r="AT506" s="440"/>
      <c r="AU506" s="439"/>
      <c r="AV506" s="439"/>
      <c r="AW506" s="726"/>
      <c r="AX506" s="439">
        <f>AY506</f>
        <v>0</v>
      </c>
      <c r="AY506" s="440"/>
      <c r="AZ506" s="439"/>
      <c r="BA506" s="439"/>
      <c r="BB506" s="439"/>
      <c r="BC506" s="439">
        <f>BD506</f>
        <v>0</v>
      </c>
      <c r="BD506" s="440"/>
      <c r="BE506" s="440"/>
      <c r="BF506" s="440"/>
      <c r="BG506" s="440"/>
      <c r="BH506" s="361"/>
    </row>
    <row r="507" spans="1:60" s="356" customFormat="1" hidden="1" outlineLevel="1" x14ac:dyDescent="0.25">
      <c r="A507" s="360" t="s">
        <v>588</v>
      </c>
      <c r="B507" s="450"/>
      <c r="C507" s="440"/>
      <c r="D507" s="440"/>
      <c r="E507" s="440"/>
      <c r="F507" s="440"/>
      <c r="G507" s="439"/>
      <c r="H507" s="439"/>
      <c r="I507" s="439"/>
      <c r="J507" s="439"/>
      <c r="K507" s="440"/>
      <c r="L507" s="439"/>
      <c r="M507" s="439"/>
      <c r="N507" s="439"/>
      <c r="O507" s="439"/>
      <c r="P507" s="440"/>
      <c r="Q507" s="439"/>
      <c r="R507" s="439"/>
      <c r="S507" s="439"/>
      <c r="T507" s="439"/>
      <c r="U507" s="440"/>
      <c r="V507" s="439"/>
      <c r="W507" s="439"/>
      <c r="X507" s="439"/>
      <c r="Y507" s="439"/>
      <c r="Z507" s="440"/>
      <c r="AA507" s="439"/>
      <c r="AB507" s="439"/>
      <c r="AC507" s="439"/>
      <c r="AD507" s="439"/>
      <c r="AE507" s="440"/>
      <c r="AF507" s="439"/>
      <c r="AG507" s="439"/>
      <c r="AH507" s="439"/>
      <c r="AI507" s="439"/>
      <c r="AJ507" s="440"/>
      <c r="AK507" s="439"/>
      <c r="AL507" s="439"/>
      <c r="AM507" s="439"/>
      <c r="AN507" s="439"/>
      <c r="AO507" s="440"/>
      <c r="AP507" s="439"/>
      <c r="AQ507" s="439"/>
      <c r="AR507" s="439"/>
      <c r="AS507" s="439"/>
      <c r="AT507" s="440"/>
      <c r="AU507" s="439">
        <v>-101</v>
      </c>
      <c r="AV507" s="439">
        <v>-78</v>
      </c>
      <c r="AW507" s="726">
        <v>-27</v>
      </c>
      <c r="AX507" s="439"/>
      <c r="AY507" s="440"/>
      <c r="AZ507" s="439"/>
      <c r="BA507" s="439"/>
      <c r="BB507" s="439"/>
      <c r="BC507" s="439"/>
      <c r="BD507" s="440"/>
      <c r="BE507" s="440"/>
      <c r="BF507" s="440"/>
      <c r="BG507" s="440"/>
      <c r="BH507" s="361"/>
    </row>
    <row r="508" spans="1:60" s="356" customFormat="1" hidden="1" outlineLevel="1" x14ac:dyDescent="0.25">
      <c r="A508" s="360" t="s">
        <v>183</v>
      </c>
      <c r="B508" s="450"/>
      <c r="C508" s="440"/>
      <c r="D508" s="440"/>
      <c r="E508" s="440"/>
      <c r="F508" s="440"/>
      <c r="G508" s="439"/>
      <c r="H508" s="439"/>
      <c r="I508" s="439"/>
      <c r="J508" s="439"/>
      <c r="K508" s="440"/>
      <c r="L508" s="439"/>
      <c r="M508" s="439"/>
      <c r="N508" s="439"/>
      <c r="O508" s="439"/>
      <c r="P508" s="440"/>
      <c r="Q508" s="439"/>
      <c r="R508" s="439"/>
      <c r="S508" s="439"/>
      <c r="T508" s="439"/>
      <c r="U508" s="440"/>
      <c r="V508" s="439"/>
      <c r="W508" s="439"/>
      <c r="X508" s="439"/>
      <c r="Y508" s="439"/>
      <c r="Z508" s="440"/>
      <c r="AA508" s="439"/>
      <c r="AB508" s="439"/>
      <c r="AC508" s="439"/>
      <c r="AD508" s="439"/>
      <c r="AE508" s="440"/>
      <c r="AF508" s="439"/>
      <c r="AG508" s="439"/>
      <c r="AH508" s="439"/>
      <c r="AI508" s="361">
        <f t="shared" si="507"/>
        <v>0</v>
      </c>
      <c r="AJ508" s="440"/>
      <c r="AK508" s="439"/>
      <c r="AL508" s="439"/>
      <c r="AM508" s="439"/>
      <c r="AN508" s="361">
        <f t="shared" si="500"/>
        <v>0</v>
      </c>
      <c r="AO508" s="440"/>
      <c r="AP508" s="439"/>
      <c r="AQ508" s="439"/>
      <c r="AR508" s="439"/>
      <c r="AS508" s="361">
        <f t="shared" si="501"/>
        <v>0</v>
      </c>
      <c r="AT508" s="440"/>
      <c r="AU508" s="439"/>
      <c r="AV508" s="439"/>
      <c r="AW508" s="726"/>
      <c r="AX508" s="439"/>
      <c r="AY508" s="440"/>
      <c r="AZ508" s="439"/>
      <c r="BA508" s="439"/>
      <c r="BB508" s="439"/>
      <c r="BC508" s="439"/>
      <c r="BD508" s="440"/>
      <c r="BE508" s="440"/>
      <c r="BF508" s="440"/>
      <c r="BG508" s="440"/>
      <c r="BH508" s="361"/>
    </row>
    <row r="509" spans="1:60" s="356" customFormat="1" hidden="1" outlineLevel="1" x14ac:dyDescent="0.25">
      <c r="A509" s="360" t="s">
        <v>184</v>
      </c>
      <c r="B509" s="450"/>
      <c r="C509" s="440"/>
      <c r="D509" s="440"/>
      <c r="E509" s="440"/>
      <c r="F509" s="440"/>
      <c r="G509" s="439"/>
      <c r="H509" s="361">
        <v>4.3019999999999996</v>
      </c>
      <c r="I509" s="361">
        <v>3.778</v>
      </c>
      <c r="J509" s="361">
        <f>K509</f>
        <v>-13.497999999999999</v>
      </c>
      <c r="K509" s="35">
        <v>-13.497999999999999</v>
      </c>
      <c r="L509" s="361">
        <v>-1.909</v>
      </c>
      <c r="M509" s="361">
        <v>-0.21</v>
      </c>
      <c r="N509" s="361">
        <v>-2.7069999999999999</v>
      </c>
      <c r="O509" s="361">
        <f>P509</f>
        <v>-1.891</v>
      </c>
      <c r="P509" s="35">
        <v>-1.891</v>
      </c>
      <c r="Q509" s="361">
        <v>27.977</v>
      </c>
      <c r="R509" s="361">
        <v>16.771000000000001</v>
      </c>
      <c r="S509" s="361">
        <v>35.582999999999998</v>
      </c>
      <c r="T509" s="361">
        <f>U509</f>
        <v>55.765000000000001</v>
      </c>
      <c r="U509" s="35">
        <v>55.765000000000001</v>
      </c>
      <c r="V509" s="361">
        <v>-9.3559999999999999</v>
      </c>
      <c r="W509" s="361">
        <v>-8.0809999999999995</v>
      </c>
      <c r="X509" s="361">
        <v>10.422000000000001</v>
      </c>
      <c r="Y509" s="361">
        <f>Z509</f>
        <v>-29.183</v>
      </c>
      <c r="Z509" s="35">
        <v>-29.183</v>
      </c>
      <c r="AA509" s="361">
        <v>5.0640000000000001</v>
      </c>
      <c r="AB509" s="361">
        <v>29.393999999999998</v>
      </c>
      <c r="AC509" s="361">
        <v>35.933</v>
      </c>
      <c r="AD509" s="361">
        <f>AE509</f>
        <v>52.308999999999997</v>
      </c>
      <c r="AE509" s="35">
        <v>52.308999999999997</v>
      </c>
      <c r="AF509" s="361">
        <v>47.661000000000001</v>
      </c>
      <c r="AG509" s="361">
        <v>6.1849999999999996</v>
      </c>
      <c r="AH509" s="361">
        <v>-6.6139999999999999</v>
      </c>
      <c r="AI509" s="361">
        <f t="shared" si="507"/>
        <v>-1.5109999999999999</v>
      </c>
      <c r="AJ509" s="35">
        <v>-1.5109999999999999</v>
      </c>
      <c r="AK509" s="361">
        <v>-39.130000000000003</v>
      </c>
      <c r="AL509" s="361">
        <v>-10.848000000000001</v>
      </c>
      <c r="AM509" s="361">
        <v>-102</v>
      </c>
      <c r="AN509" s="361">
        <f t="shared" si="500"/>
        <v>-48</v>
      </c>
      <c r="AO509" s="35">
        <v>-48</v>
      </c>
      <c r="AP509" s="361">
        <v>19</v>
      </c>
      <c r="AQ509" s="361">
        <v>38</v>
      </c>
      <c r="AR509" s="361">
        <v>144</v>
      </c>
      <c r="AS509" s="361">
        <f t="shared" si="501"/>
        <v>114</v>
      </c>
      <c r="AT509" s="35">
        <v>114</v>
      </c>
      <c r="AU509" s="439">
        <v>-2</v>
      </c>
      <c r="AV509" s="439">
        <v>-1</v>
      </c>
      <c r="AW509" s="726">
        <v>8</v>
      </c>
      <c r="AX509" s="439">
        <f>AY509</f>
        <v>0</v>
      </c>
      <c r="AY509" s="440"/>
      <c r="AZ509" s="439"/>
      <c r="BA509" s="439"/>
      <c r="BB509" s="439"/>
      <c r="BC509" s="439">
        <f>BD509</f>
        <v>0</v>
      </c>
      <c r="BD509" s="440"/>
      <c r="BE509" s="440"/>
      <c r="BF509" s="440"/>
      <c r="BG509" s="440"/>
      <c r="BH509" s="361"/>
    </row>
    <row r="510" spans="1:60" s="116" customFormat="1" hidden="1" outlineLevel="1" x14ac:dyDescent="0.25">
      <c r="A510" s="86" t="s">
        <v>186</v>
      </c>
      <c r="B510" s="529"/>
      <c r="C510" s="29">
        <f t="shared" ref="C510:AH510" si="510">SUM(C503:C509)+SUM(C494:C499)</f>
        <v>-43.282000000000004</v>
      </c>
      <c r="D510" s="29">
        <f t="shared" si="510"/>
        <v>-116.56800000000001</v>
      </c>
      <c r="E510" s="29">
        <f t="shared" si="510"/>
        <v>-203.26199999999997</v>
      </c>
      <c r="F510" s="29">
        <f t="shared" si="510"/>
        <v>-308.90000000000009</v>
      </c>
      <c r="G510" s="30">
        <f t="shared" si="510"/>
        <v>35.196000000000005</v>
      </c>
      <c r="H510" s="30">
        <f t="shared" si="510"/>
        <v>62.315000000000005</v>
      </c>
      <c r="I510" s="30">
        <f t="shared" si="510"/>
        <v>79.295000000000002</v>
      </c>
      <c r="J510" s="30">
        <f t="shared" si="510"/>
        <v>115.84599999999999</v>
      </c>
      <c r="K510" s="29">
        <f t="shared" si="510"/>
        <v>115.84599999999999</v>
      </c>
      <c r="L510" s="30">
        <f t="shared" si="510"/>
        <v>42.228999999999999</v>
      </c>
      <c r="M510" s="30">
        <f t="shared" si="510"/>
        <v>105.81200000000001</v>
      </c>
      <c r="N510" s="30">
        <f t="shared" si="510"/>
        <v>172.50100000000003</v>
      </c>
      <c r="O510" s="30">
        <f t="shared" si="510"/>
        <v>199.488</v>
      </c>
      <c r="P510" s="29">
        <f t="shared" si="510"/>
        <v>199.488</v>
      </c>
      <c r="Q510" s="30">
        <f t="shared" si="510"/>
        <v>23.390999999999988</v>
      </c>
      <c r="R510" s="30">
        <f t="shared" si="510"/>
        <v>-6.0740000000000052</v>
      </c>
      <c r="S510" s="30">
        <f t="shared" si="510"/>
        <v>-16.966999999999942</v>
      </c>
      <c r="T510" s="30">
        <f t="shared" si="510"/>
        <v>-31.210000000000093</v>
      </c>
      <c r="U510" s="29">
        <f t="shared" si="510"/>
        <v>-31.210000000000093</v>
      </c>
      <c r="V510" s="30">
        <f t="shared" si="510"/>
        <v>21.424000000000007</v>
      </c>
      <c r="W510" s="30">
        <f t="shared" si="510"/>
        <v>12.275999999999961</v>
      </c>
      <c r="X510" s="30">
        <f t="shared" si="510"/>
        <v>471.64599999999996</v>
      </c>
      <c r="Y510" s="30">
        <f t="shared" si="510"/>
        <v>570.03200000000004</v>
      </c>
      <c r="Z510" s="29">
        <f t="shared" si="510"/>
        <v>570.03200000000004</v>
      </c>
      <c r="AA510" s="30">
        <f t="shared" si="510"/>
        <v>192.96899999999997</v>
      </c>
      <c r="AB510" s="30">
        <f t="shared" si="510"/>
        <v>473.8900000000001</v>
      </c>
      <c r="AC510" s="30">
        <f t="shared" si="510"/>
        <v>423.096</v>
      </c>
      <c r="AD510" s="30">
        <f t="shared" si="510"/>
        <v>435.9489999999999</v>
      </c>
      <c r="AE510" s="29">
        <f t="shared" si="510"/>
        <v>435.9489999999999</v>
      </c>
      <c r="AF510" s="30">
        <f t="shared" si="510"/>
        <v>-72.949999999999932</v>
      </c>
      <c r="AG510" s="30">
        <f t="shared" si="510"/>
        <v>-35.625</v>
      </c>
      <c r="AH510" s="30">
        <f t="shared" si="510"/>
        <v>1004.338</v>
      </c>
      <c r="AI510" s="30">
        <f t="shared" ref="AI510:BG510" si="511">SUM(AI503:AI509)+SUM(AI494:AI499)</f>
        <v>2039.8509999999997</v>
      </c>
      <c r="AJ510" s="29">
        <f t="shared" si="511"/>
        <v>2039.8509999999997</v>
      </c>
      <c r="AK510" s="30">
        <f t="shared" si="511"/>
        <v>36.495000000000019</v>
      </c>
      <c r="AL510" s="30">
        <f t="shared" si="511"/>
        <v>612.95299999999997</v>
      </c>
      <c r="AM510" s="30">
        <f t="shared" si="511"/>
        <v>1560</v>
      </c>
      <c r="AN510" s="30">
        <f t="shared" si="511"/>
        <v>2754</v>
      </c>
      <c r="AO510" s="29">
        <f t="shared" si="511"/>
        <v>2754</v>
      </c>
      <c r="AP510" s="30">
        <f t="shared" si="511"/>
        <v>1007</v>
      </c>
      <c r="AQ510" s="30">
        <f t="shared" si="511"/>
        <v>2217</v>
      </c>
      <c r="AR510" s="30">
        <f t="shared" si="511"/>
        <v>3982</v>
      </c>
      <c r="AS510" s="30">
        <f t="shared" si="511"/>
        <v>5759</v>
      </c>
      <c r="AT510" s="29">
        <f t="shared" si="511"/>
        <v>5759</v>
      </c>
      <c r="AU510" s="30">
        <f t="shared" si="511"/>
        <v>1653</v>
      </c>
      <c r="AV510" s="30">
        <f t="shared" si="511"/>
        <v>4101</v>
      </c>
      <c r="AW510" s="724">
        <f t="shared" si="511"/>
        <v>7249</v>
      </c>
      <c r="AX510" s="44">
        <f t="shared" si="511"/>
        <v>0</v>
      </c>
      <c r="AY510" s="45">
        <f t="shared" si="511"/>
        <v>0</v>
      </c>
      <c r="AZ510" s="44">
        <f t="shared" si="511"/>
        <v>0</v>
      </c>
      <c r="BA510" s="44">
        <f t="shared" si="511"/>
        <v>0</v>
      </c>
      <c r="BB510" s="44">
        <f t="shared" si="511"/>
        <v>0</v>
      </c>
      <c r="BC510" s="44">
        <f t="shared" si="511"/>
        <v>0</v>
      </c>
      <c r="BD510" s="45">
        <f t="shared" si="511"/>
        <v>0</v>
      </c>
      <c r="BE510" s="45">
        <f t="shared" si="511"/>
        <v>0</v>
      </c>
      <c r="BF510" s="45">
        <f t="shared" si="511"/>
        <v>0</v>
      </c>
      <c r="BG510" s="45">
        <f t="shared" si="511"/>
        <v>0</v>
      </c>
      <c r="BH510" s="368"/>
    </row>
    <row r="511" spans="1:60" s="356" customFormat="1" hidden="1" outlineLevel="1" x14ac:dyDescent="0.25">
      <c r="A511" s="360" t="s">
        <v>187</v>
      </c>
      <c r="B511" s="450"/>
      <c r="C511" s="35">
        <v>-0.16800000000000001</v>
      </c>
      <c r="D511" s="35">
        <v>-3.222</v>
      </c>
      <c r="E511" s="35">
        <v>-2.8290000000000002</v>
      </c>
      <c r="F511" s="35">
        <v>-17.303000000000001</v>
      </c>
      <c r="G511" s="361">
        <v>-19.297000000000001</v>
      </c>
      <c r="H511" s="361">
        <v>-86.878</v>
      </c>
      <c r="I511" s="361">
        <v>-20.716000000000001</v>
      </c>
      <c r="J511" s="361">
        <f>K511</f>
        <v>-21.704999999999998</v>
      </c>
      <c r="K511" s="35">
        <v>-21.704999999999998</v>
      </c>
      <c r="L511" s="361">
        <v>-23.721</v>
      </c>
      <c r="M511" s="361">
        <v>-47.930999999999997</v>
      </c>
      <c r="N511" s="361">
        <v>-109.172</v>
      </c>
      <c r="O511" s="361">
        <f>P511</f>
        <v>-183.65799999999999</v>
      </c>
      <c r="P511" s="35">
        <v>-183.65799999999999</v>
      </c>
      <c r="Q511" s="361">
        <v>2.1749999999999998</v>
      </c>
      <c r="R511" s="361">
        <v>62.832000000000001</v>
      </c>
      <c r="S511" s="361">
        <v>78.373000000000005</v>
      </c>
      <c r="T511" s="361">
        <f>U511</f>
        <v>46.267000000000003</v>
      </c>
      <c r="U511" s="35">
        <v>46.267000000000003</v>
      </c>
      <c r="V511" s="361">
        <v>-159.327</v>
      </c>
      <c r="W511" s="361">
        <v>-1.4259999999999999</v>
      </c>
      <c r="X511" s="361">
        <v>-110.51</v>
      </c>
      <c r="Y511" s="361">
        <f>Z511</f>
        <v>-216.565</v>
      </c>
      <c r="Z511" s="35">
        <v>-216.565</v>
      </c>
      <c r="AA511" s="361">
        <v>91.540999999999997</v>
      </c>
      <c r="AB511" s="361">
        <v>77.043000000000006</v>
      </c>
      <c r="AC511" s="361">
        <v>-105.643</v>
      </c>
      <c r="AD511" s="361">
        <f>AE511</f>
        <v>-24.635000000000002</v>
      </c>
      <c r="AE511" s="35">
        <v>-24.635000000000002</v>
      </c>
      <c r="AF511" s="361">
        <v>-169.142</v>
      </c>
      <c r="AG511" s="361">
        <v>-98.509</v>
      </c>
      <c r="AH511" s="361">
        <v>-686.10299999999995</v>
      </c>
      <c r="AI511" s="361">
        <f>AJ511</f>
        <v>-496.73200000000003</v>
      </c>
      <c r="AJ511" s="35">
        <v>-496.73200000000003</v>
      </c>
      <c r="AK511" s="361">
        <v>-99.64</v>
      </c>
      <c r="AL511" s="361">
        <v>-168.31200000000001</v>
      </c>
      <c r="AM511" s="361">
        <v>-150</v>
      </c>
      <c r="AN511" s="361">
        <f>AO511</f>
        <v>-367</v>
      </c>
      <c r="AO511" s="35">
        <v>-367</v>
      </c>
      <c r="AP511" s="361">
        <v>-14</v>
      </c>
      <c r="AQ511" s="361">
        <v>-236</v>
      </c>
      <c r="AR511" s="361">
        <v>-550</v>
      </c>
      <c r="AS511" s="361">
        <f>AT511</f>
        <v>-652</v>
      </c>
      <c r="AT511" s="35">
        <v>-652</v>
      </c>
      <c r="AU511" s="439">
        <v>-24</v>
      </c>
      <c r="AV511" s="439">
        <v>-283</v>
      </c>
      <c r="AW511" s="726">
        <v>-148</v>
      </c>
      <c r="AX511" s="439">
        <f>AY511</f>
        <v>0</v>
      </c>
      <c r="AY511" s="440"/>
      <c r="AZ511" s="439"/>
      <c r="BA511" s="439"/>
      <c r="BB511" s="439"/>
      <c r="BC511" s="439">
        <f>BD511</f>
        <v>0</v>
      </c>
      <c r="BD511" s="440"/>
      <c r="BE511" s="440"/>
      <c r="BF511" s="440"/>
      <c r="BG511" s="440"/>
      <c r="BH511" s="361"/>
    </row>
    <row r="512" spans="1:60" s="356" customFormat="1" hidden="1" outlineLevel="1" x14ac:dyDescent="0.25">
      <c r="A512" s="259" t="s">
        <v>259</v>
      </c>
      <c r="B512" s="450"/>
      <c r="C512" s="440"/>
      <c r="D512" s="440"/>
      <c r="E512" s="440"/>
      <c r="F512" s="440"/>
      <c r="G512" s="439"/>
      <c r="H512" s="439"/>
      <c r="I512" s="439"/>
      <c r="J512" s="439"/>
      <c r="K512" s="440"/>
      <c r="L512" s="439"/>
      <c r="M512" s="439"/>
      <c r="N512" s="439"/>
      <c r="O512" s="439"/>
      <c r="P512" s="440"/>
      <c r="Q512" s="439"/>
      <c r="R512" s="439"/>
      <c r="S512" s="439"/>
      <c r="T512" s="439"/>
      <c r="U512" s="440"/>
      <c r="V512" s="439"/>
      <c r="W512" s="439"/>
      <c r="X512" s="439"/>
      <c r="Y512" s="439"/>
      <c r="Z512" s="440"/>
      <c r="AA512" s="361">
        <v>-124.514</v>
      </c>
      <c r="AB512" s="361">
        <v>-393.702</v>
      </c>
      <c r="AC512" s="361">
        <v>-418.97</v>
      </c>
      <c r="AD512" s="361">
        <f t="shared" ref="AD512:AD513" si="512">AE512</f>
        <v>-178.85</v>
      </c>
      <c r="AE512" s="35">
        <v>-178.85</v>
      </c>
      <c r="AF512" s="361">
        <v>-322.08100000000002</v>
      </c>
      <c r="AG512" s="361">
        <v>-1055.556</v>
      </c>
      <c r="AH512" s="361">
        <v>-1110.6110000000001</v>
      </c>
      <c r="AI512" s="361">
        <f>AJ512</f>
        <v>-1023.264</v>
      </c>
      <c r="AJ512" s="35">
        <v>-1023.264</v>
      </c>
      <c r="AK512" s="361">
        <v>-809.15200000000004</v>
      </c>
      <c r="AL512" s="361">
        <v>-352.428</v>
      </c>
      <c r="AM512" s="361">
        <v>-485</v>
      </c>
      <c r="AN512" s="361">
        <f t="shared" ref="AN512:AN513" si="513">AO512</f>
        <v>-429</v>
      </c>
      <c r="AO512" s="35">
        <v>-429</v>
      </c>
      <c r="AP512" s="361">
        <v>-981</v>
      </c>
      <c r="AQ512" s="361">
        <v>-535</v>
      </c>
      <c r="AR512" s="361">
        <v>-602</v>
      </c>
      <c r="AS512" s="361">
        <f t="shared" ref="AS512:AS513" si="514">AT512</f>
        <v>-422</v>
      </c>
      <c r="AT512" s="35">
        <v>-422</v>
      </c>
      <c r="AU512" s="439">
        <v>-106</v>
      </c>
      <c r="AV512" s="439">
        <v>-687</v>
      </c>
      <c r="AW512" s="726">
        <v>-1175</v>
      </c>
      <c r="AX512" s="439"/>
      <c r="AY512" s="440"/>
      <c r="AZ512" s="439"/>
      <c r="BA512" s="439"/>
      <c r="BB512" s="439"/>
      <c r="BC512" s="439"/>
      <c r="BD512" s="440"/>
      <c r="BE512" s="440"/>
      <c r="BF512" s="440"/>
      <c r="BG512" s="440"/>
      <c r="BH512" s="361"/>
    </row>
    <row r="513" spans="1:60" s="356" customFormat="1" hidden="1" outlineLevel="1" x14ac:dyDescent="0.25">
      <c r="A513" s="260" t="s">
        <v>613</v>
      </c>
      <c r="B513" s="527"/>
      <c r="C513" s="479"/>
      <c r="D513" s="479"/>
      <c r="E513" s="479"/>
      <c r="F513" s="479"/>
      <c r="G513" s="459"/>
      <c r="H513" s="459"/>
      <c r="I513" s="459"/>
      <c r="J513" s="459"/>
      <c r="K513" s="479"/>
      <c r="L513" s="459"/>
      <c r="M513" s="459"/>
      <c r="N513" s="459"/>
      <c r="O513" s="459"/>
      <c r="P513" s="479"/>
      <c r="Q513" s="459"/>
      <c r="R513" s="459"/>
      <c r="S513" s="459"/>
      <c r="T513" s="459"/>
      <c r="U513" s="479"/>
      <c r="V513" s="459"/>
      <c r="W513" s="459"/>
      <c r="X513" s="459"/>
      <c r="Y513" s="459"/>
      <c r="Z513" s="479"/>
      <c r="AA513" s="262">
        <v>-458.96499999999997</v>
      </c>
      <c r="AB513" s="262">
        <v>-727.45299999999997</v>
      </c>
      <c r="AC513" s="262">
        <v>-1083.1400000000001</v>
      </c>
      <c r="AD513" s="262">
        <f t="shared" si="512"/>
        <v>-1522.5730000000001</v>
      </c>
      <c r="AE513" s="261">
        <v>-1522.5730000000001</v>
      </c>
      <c r="AF513" s="262">
        <v>-97.195999999999998</v>
      </c>
      <c r="AG513" s="262">
        <v>-186.208</v>
      </c>
      <c r="AH513" s="262">
        <v>-188.94800000000001</v>
      </c>
      <c r="AI513" s="262">
        <f>AJ513</f>
        <v>-214.74700000000001</v>
      </c>
      <c r="AJ513" s="261">
        <v>-214.74700000000001</v>
      </c>
      <c r="AK513" s="262">
        <v>13.012</v>
      </c>
      <c r="AL513" s="262">
        <v>-175.898</v>
      </c>
      <c r="AM513" s="262">
        <v>-467</v>
      </c>
      <c r="AN513" s="262">
        <f t="shared" si="513"/>
        <v>-764</v>
      </c>
      <c r="AO513" s="261">
        <v>-764</v>
      </c>
      <c r="AP513" s="262">
        <v>-197</v>
      </c>
      <c r="AQ513" s="262">
        <v>-330</v>
      </c>
      <c r="AR513" s="262">
        <v>-640</v>
      </c>
      <c r="AS513" s="262">
        <f t="shared" si="514"/>
        <v>-1072</v>
      </c>
      <c r="AT513" s="261">
        <v>-1072</v>
      </c>
      <c r="AU513" s="459">
        <v>-426</v>
      </c>
      <c r="AV513" s="459">
        <v>-916</v>
      </c>
      <c r="AW513" s="723">
        <v>-1526</v>
      </c>
      <c r="AX513" s="459"/>
      <c r="AY513" s="479"/>
      <c r="AZ513" s="459"/>
      <c r="BA513" s="459"/>
      <c r="BB513" s="459"/>
      <c r="BC513" s="459"/>
      <c r="BD513" s="479"/>
      <c r="BE513" s="479"/>
      <c r="BF513" s="479"/>
      <c r="BG513" s="479"/>
      <c r="BH513" s="361"/>
    </row>
    <row r="514" spans="1:60" s="356" customFormat="1" hidden="1" outlineLevel="1" x14ac:dyDescent="0.25">
      <c r="A514" s="360" t="s">
        <v>188</v>
      </c>
      <c r="B514" s="450"/>
      <c r="C514" s="35">
        <v>-7.9249999999999998</v>
      </c>
      <c r="D514" s="35">
        <v>-28.513000000000002</v>
      </c>
      <c r="E514" s="35">
        <v>-13.638</v>
      </c>
      <c r="F514" s="35">
        <v>-194.726</v>
      </c>
      <c r="G514" s="361">
        <v>18.22</v>
      </c>
      <c r="H514" s="361">
        <v>-129.24700000000001</v>
      </c>
      <c r="I514" s="361">
        <v>-358.41699999999997</v>
      </c>
      <c r="J514" s="361">
        <f>K514</f>
        <v>-460.56099999999998</v>
      </c>
      <c r="K514" s="35">
        <v>-460.56099999999998</v>
      </c>
      <c r="L514" s="361">
        <v>-198.59399999999999</v>
      </c>
      <c r="M514" s="361">
        <v>-458.13200000000001</v>
      </c>
      <c r="N514" s="361">
        <v>-672.66300000000001</v>
      </c>
      <c r="O514" s="361">
        <f>P514</f>
        <v>-1050.2639999999999</v>
      </c>
      <c r="P514" s="35">
        <v>-1050.2639999999999</v>
      </c>
      <c r="Q514" s="361">
        <v>-307.209</v>
      </c>
      <c r="R514" s="361">
        <v>-706.22</v>
      </c>
      <c r="S514" s="361">
        <v>-1091.3820000000001</v>
      </c>
      <c r="T514" s="361">
        <f>U514</f>
        <v>-1573.86</v>
      </c>
      <c r="U514" s="35">
        <v>-1573.86</v>
      </c>
      <c r="V514" s="361">
        <v>-512.67100000000005</v>
      </c>
      <c r="W514" s="361">
        <v>-1217.931</v>
      </c>
      <c r="X514" s="361">
        <v>-1798.2139999999999</v>
      </c>
      <c r="Y514" s="361">
        <f>Z514</f>
        <v>-2465.703</v>
      </c>
      <c r="Z514" s="35">
        <v>-2465.703</v>
      </c>
      <c r="AA514" s="361">
        <f>SUM(AA512:AA513)</f>
        <v>-583.47899999999993</v>
      </c>
      <c r="AB514" s="361">
        <f t="shared" ref="AB514:AW514" si="515">SUM(AB512:AB513)</f>
        <v>-1121.155</v>
      </c>
      <c r="AC514" s="361">
        <f t="shared" si="515"/>
        <v>-1502.1100000000001</v>
      </c>
      <c r="AD514" s="361">
        <f t="shared" si="515"/>
        <v>-1701.423</v>
      </c>
      <c r="AE514" s="35">
        <f t="shared" si="515"/>
        <v>-1701.423</v>
      </c>
      <c r="AF514" s="361">
        <f t="shared" si="515"/>
        <v>-419.27700000000004</v>
      </c>
      <c r="AG514" s="361">
        <f t="shared" si="515"/>
        <v>-1241.7640000000001</v>
      </c>
      <c r="AH514" s="361">
        <f t="shared" si="515"/>
        <v>-1299.5590000000002</v>
      </c>
      <c r="AI514" s="361">
        <f t="shared" si="515"/>
        <v>-1238.011</v>
      </c>
      <c r="AJ514" s="35">
        <f t="shared" si="515"/>
        <v>-1238.011</v>
      </c>
      <c r="AK514" s="361">
        <f t="shared" si="515"/>
        <v>-796.1400000000001</v>
      </c>
      <c r="AL514" s="361">
        <f t="shared" si="515"/>
        <v>-528.32600000000002</v>
      </c>
      <c r="AM514" s="361">
        <f t="shared" si="515"/>
        <v>-952</v>
      </c>
      <c r="AN514" s="361">
        <f t="shared" si="515"/>
        <v>-1193</v>
      </c>
      <c r="AO514" s="35">
        <f t="shared" si="515"/>
        <v>-1193</v>
      </c>
      <c r="AP514" s="361">
        <f t="shared" si="515"/>
        <v>-1178</v>
      </c>
      <c r="AQ514" s="361">
        <f t="shared" si="515"/>
        <v>-865</v>
      </c>
      <c r="AR514" s="361">
        <f t="shared" si="515"/>
        <v>-1242</v>
      </c>
      <c r="AS514" s="361">
        <f t="shared" si="515"/>
        <v>-1494</v>
      </c>
      <c r="AT514" s="35">
        <f t="shared" si="515"/>
        <v>-1494</v>
      </c>
      <c r="AU514" s="439">
        <f t="shared" si="515"/>
        <v>-532</v>
      </c>
      <c r="AV514" s="439">
        <f t="shared" si="515"/>
        <v>-1603</v>
      </c>
      <c r="AW514" s="726">
        <f t="shared" si="515"/>
        <v>-2701</v>
      </c>
      <c r="AX514" s="439">
        <f>AY514</f>
        <v>0</v>
      </c>
      <c r="AY514" s="440"/>
      <c r="AZ514" s="439"/>
      <c r="BA514" s="439"/>
      <c r="BB514" s="439"/>
      <c r="BC514" s="439">
        <f>BD514</f>
        <v>0</v>
      </c>
      <c r="BD514" s="440"/>
      <c r="BE514" s="440"/>
      <c r="BF514" s="440"/>
      <c r="BG514" s="440"/>
      <c r="BH514" s="361"/>
    </row>
    <row r="515" spans="1:60" s="356" customFormat="1" hidden="1" outlineLevel="1" x14ac:dyDescent="0.25">
      <c r="A515" s="360" t="s">
        <v>189</v>
      </c>
      <c r="B515" s="450"/>
      <c r="C515" s="35">
        <v>-2.0419999999999998</v>
      </c>
      <c r="D515" s="35">
        <v>-4.9770000000000003</v>
      </c>
      <c r="E515" s="35">
        <v>-0.248</v>
      </c>
      <c r="F515" s="35">
        <v>1.121</v>
      </c>
      <c r="G515" s="361">
        <v>-2.5750000000000002</v>
      </c>
      <c r="H515" s="361">
        <v>-3.5649999999999999</v>
      </c>
      <c r="I515" s="361">
        <v>-9.1150000000000002</v>
      </c>
      <c r="J515" s="361">
        <f>K515</f>
        <v>-17.533000000000001</v>
      </c>
      <c r="K515" s="35">
        <v>-17.533000000000001</v>
      </c>
      <c r="L515" s="361">
        <v>-11.429</v>
      </c>
      <c r="M515" s="361">
        <v>-24.207000000000001</v>
      </c>
      <c r="N515" s="361">
        <v>-29.516999999999999</v>
      </c>
      <c r="O515" s="361">
        <f>P515</f>
        <v>-60.637</v>
      </c>
      <c r="P515" s="35">
        <v>-60.637</v>
      </c>
      <c r="Q515" s="361">
        <v>-43.475000000000001</v>
      </c>
      <c r="R515" s="361">
        <v>-3.3849999999999998</v>
      </c>
      <c r="S515" s="361">
        <v>-35.962000000000003</v>
      </c>
      <c r="T515" s="361">
        <f>U515</f>
        <v>-29.594999999999999</v>
      </c>
      <c r="U515" s="35">
        <v>-29.594999999999999</v>
      </c>
      <c r="V515" s="361">
        <v>-9.1340000000000003</v>
      </c>
      <c r="W515" s="361">
        <v>19.494</v>
      </c>
      <c r="X515" s="361">
        <v>34.636000000000003</v>
      </c>
      <c r="Y515" s="361">
        <f t="shared" ref="Y515:Y524" si="516">Z515</f>
        <v>56.805999999999997</v>
      </c>
      <c r="Z515" s="35">
        <v>56.805999999999997</v>
      </c>
      <c r="AA515" s="361">
        <v>-75.504000000000005</v>
      </c>
      <c r="AB515" s="361">
        <v>-113.19199999999999</v>
      </c>
      <c r="AC515" s="361">
        <v>-123.83199999999999</v>
      </c>
      <c r="AD515" s="361">
        <f t="shared" ref="AD515:AD524" si="517">AE515</f>
        <v>-72.084000000000003</v>
      </c>
      <c r="AE515" s="35">
        <v>-72.084000000000003</v>
      </c>
      <c r="AF515" s="361">
        <v>-50.000999999999998</v>
      </c>
      <c r="AG515" s="361">
        <v>-95.194000000000003</v>
      </c>
      <c r="AH515" s="361">
        <v>-31.532</v>
      </c>
      <c r="AI515" s="361">
        <f t="shared" ref="AI515:AI524" si="518">AJ515</f>
        <v>-82.125</v>
      </c>
      <c r="AJ515" s="35">
        <v>-82.125</v>
      </c>
      <c r="AK515" s="361">
        <v>-46.103000000000002</v>
      </c>
      <c r="AL515" s="361">
        <v>-139.14099999999999</v>
      </c>
      <c r="AM515" s="361">
        <v>-236</v>
      </c>
      <c r="AN515" s="361">
        <f t="shared" ref="AN515:AN525" si="519">AO515</f>
        <v>-288</v>
      </c>
      <c r="AO515" s="35">
        <v>-288</v>
      </c>
      <c r="AP515" s="361">
        <v>-154</v>
      </c>
      <c r="AQ515" s="361">
        <v>-301</v>
      </c>
      <c r="AR515" s="361">
        <v>-290</v>
      </c>
      <c r="AS515" s="361">
        <f t="shared" ref="AS515:AS525" si="520">AT515</f>
        <v>-251</v>
      </c>
      <c r="AT515" s="35">
        <v>-251</v>
      </c>
      <c r="AU515" s="439">
        <v>-143</v>
      </c>
      <c r="AV515" s="439">
        <v>-131</v>
      </c>
      <c r="AW515" s="726">
        <v>-287</v>
      </c>
      <c r="AX515" s="439">
        <f>AY515</f>
        <v>0</v>
      </c>
      <c r="AY515" s="440"/>
      <c r="AZ515" s="439"/>
      <c r="BA515" s="439"/>
      <c r="BB515" s="439"/>
      <c r="BC515" s="439">
        <f>BD515</f>
        <v>0</v>
      </c>
      <c r="BD515" s="440"/>
      <c r="BE515" s="440"/>
      <c r="BF515" s="440"/>
      <c r="BG515" s="440"/>
      <c r="BH515" s="361"/>
    </row>
    <row r="516" spans="1:60" s="356" customFormat="1" hidden="1" outlineLevel="1" x14ac:dyDescent="0.25">
      <c r="A516" s="360" t="s">
        <v>190</v>
      </c>
      <c r="B516" s="450"/>
      <c r="C516" s="440"/>
      <c r="D516" s="440"/>
      <c r="E516" s="440"/>
      <c r="F516" s="440"/>
      <c r="G516" s="439"/>
      <c r="H516" s="439"/>
      <c r="I516" s="439"/>
      <c r="J516" s="439"/>
      <c r="K516" s="440"/>
      <c r="L516" s="439"/>
      <c r="M516" s="439"/>
      <c r="N516" s="439"/>
      <c r="O516" s="439"/>
      <c r="P516" s="440"/>
      <c r="Q516" s="439"/>
      <c r="R516" s="439"/>
      <c r="S516" s="439"/>
      <c r="T516" s="439"/>
      <c r="U516" s="440"/>
      <c r="V516" s="439"/>
      <c r="W516" s="439"/>
      <c r="X516" s="439"/>
      <c r="Y516" s="361">
        <f t="shared" si="516"/>
        <v>3.468</v>
      </c>
      <c r="Z516" s="35">
        <v>3.468</v>
      </c>
      <c r="AA516" s="439"/>
      <c r="AB516" s="361">
        <v>26.338999999999999</v>
      </c>
      <c r="AC516" s="361">
        <v>17.628</v>
      </c>
      <c r="AD516" s="361">
        <f t="shared" si="517"/>
        <v>-15.452999999999999</v>
      </c>
      <c r="AE516" s="35">
        <v>-15.452999999999999</v>
      </c>
      <c r="AF516" s="361">
        <v>-57.582999999999998</v>
      </c>
      <c r="AG516" s="361">
        <v>-59.445999999999998</v>
      </c>
      <c r="AH516" s="361">
        <v>-62.399000000000001</v>
      </c>
      <c r="AI516" s="361">
        <f t="shared" si="518"/>
        <v>-207.40899999999999</v>
      </c>
      <c r="AJ516" s="35">
        <v>-207.40899999999999</v>
      </c>
      <c r="AK516" s="439"/>
      <c r="AL516" s="439"/>
      <c r="AM516" s="439"/>
      <c r="AN516" s="361">
        <f t="shared" si="519"/>
        <v>0</v>
      </c>
      <c r="AO516" s="440"/>
      <c r="AP516" s="439"/>
      <c r="AQ516" s="439"/>
      <c r="AR516" s="439"/>
      <c r="AS516" s="361">
        <f t="shared" si="520"/>
        <v>0</v>
      </c>
      <c r="AT516" s="440"/>
      <c r="AU516" s="439"/>
      <c r="AV516" s="439"/>
      <c r="AW516" s="726"/>
      <c r="AX516" s="439"/>
      <c r="AY516" s="440"/>
      <c r="AZ516" s="439"/>
      <c r="BA516" s="439"/>
      <c r="BB516" s="439"/>
      <c r="BC516" s="439"/>
      <c r="BD516" s="440"/>
      <c r="BE516" s="440"/>
      <c r="BF516" s="440"/>
      <c r="BG516" s="440"/>
      <c r="BH516" s="361"/>
    </row>
    <row r="517" spans="1:60" s="356" customFormat="1" hidden="1" outlineLevel="1" x14ac:dyDescent="0.25">
      <c r="A517" s="360" t="s">
        <v>191</v>
      </c>
      <c r="B517" s="450"/>
      <c r="C517" s="35">
        <v>-0.44500000000000001</v>
      </c>
      <c r="D517" s="35">
        <v>-0.46300000000000002</v>
      </c>
      <c r="E517" s="35">
        <v>-0.28799999999999998</v>
      </c>
      <c r="F517" s="35">
        <v>-0.48199999999999998</v>
      </c>
      <c r="G517" s="361">
        <v>0.158</v>
      </c>
      <c r="H517" s="361">
        <v>0.30099999999999999</v>
      </c>
      <c r="I517" s="361">
        <v>4.2000000000000003E-2</v>
      </c>
      <c r="J517" s="361">
        <f t="shared" ref="J517:J524" si="521">K517</f>
        <v>-0.434</v>
      </c>
      <c r="K517" s="35">
        <v>-0.434</v>
      </c>
      <c r="L517" s="361">
        <v>0.153</v>
      </c>
      <c r="M517" s="361">
        <v>-0.45700000000000002</v>
      </c>
      <c r="N517" s="361">
        <v>-5.6710000000000003</v>
      </c>
      <c r="O517" s="361">
        <f t="shared" ref="O517:O524" si="522">P517</f>
        <v>-4.4930000000000003</v>
      </c>
      <c r="P517" s="35">
        <v>-4.4930000000000003</v>
      </c>
      <c r="Q517" s="361">
        <v>-6.0549999999999997</v>
      </c>
      <c r="R517" s="361">
        <v>-8.3550000000000004</v>
      </c>
      <c r="S517" s="361">
        <v>-14.297000000000001</v>
      </c>
      <c r="T517" s="361">
        <f t="shared" ref="T517:T524" si="523">U517</f>
        <v>-24.361999999999998</v>
      </c>
      <c r="U517" s="35">
        <v>-24.361999999999998</v>
      </c>
      <c r="V517" s="361">
        <v>-6.8620000000000001</v>
      </c>
      <c r="W517" s="361">
        <v>-7.4470000000000001</v>
      </c>
      <c r="X517" s="361">
        <v>-2.5859999999999999</v>
      </c>
      <c r="Y517" s="361">
        <f t="shared" si="516"/>
        <v>-52.820999999999998</v>
      </c>
      <c r="Z517" s="35">
        <v>-52.820999999999998</v>
      </c>
      <c r="AA517" s="361">
        <v>8.0060000000000002</v>
      </c>
      <c r="AB517" s="439"/>
      <c r="AC517" s="439"/>
      <c r="AD517" s="361">
        <f t="shared" si="517"/>
        <v>0</v>
      </c>
      <c r="AE517" s="35">
        <v>0</v>
      </c>
      <c r="AF517" s="439"/>
      <c r="AG517" s="439"/>
      <c r="AH517" s="439"/>
      <c r="AI517" s="361">
        <f t="shared" si="518"/>
        <v>0</v>
      </c>
      <c r="AJ517" s="440"/>
      <c r="AK517" s="361">
        <v>28.064</v>
      </c>
      <c r="AL517" s="361">
        <v>42.164999999999999</v>
      </c>
      <c r="AM517" s="361">
        <v>46</v>
      </c>
      <c r="AN517" s="361">
        <f t="shared" si="519"/>
        <v>115</v>
      </c>
      <c r="AO517" s="35">
        <v>115</v>
      </c>
      <c r="AP517" s="361">
        <v>40</v>
      </c>
      <c r="AQ517" s="361">
        <v>-16</v>
      </c>
      <c r="AR517" s="361">
        <v>-105</v>
      </c>
      <c r="AS517" s="361">
        <f t="shared" si="520"/>
        <v>-344</v>
      </c>
      <c r="AT517" s="35">
        <v>-344</v>
      </c>
      <c r="AU517" s="439">
        <v>-168</v>
      </c>
      <c r="AV517" s="439">
        <v>-289</v>
      </c>
      <c r="AW517" s="726">
        <v>-744</v>
      </c>
      <c r="AX517" s="439">
        <f t="shared" ref="AX517:AX524" si="524">AY517</f>
        <v>0</v>
      </c>
      <c r="AY517" s="440"/>
      <c r="AZ517" s="439"/>
      <c r="BA517" s="439"/>
      <c r="BB517" s="439"/>
      <c r="BC517" s="439">
        <f t="shared" ref="BC517:BC524" si="525">BD517</f>
        <v>0</v>
      </c>
      <c r="BD517" s="440"/>
      <c r="BE517" s="440"/>
      <c r="BF517" s="440"/>
      <c r="BG517" s="440"/>
      <c r="BH517" s="361"/>
    </row>
    <row r="518" spans="1:60" s="356" customFormat="1" hidden="1" outlineLevel="1" x14ac:dyDescent="0.25">
      <c r="A518" s="360" t="s">
        <v>192</v>
      </c>
      <c r="B518" s="450"/>
      <c r="C518" s="35">
        <v>0.90200000000000002</v>
      </c>
      <c r="D518" s="35">
        <v>-0.21199999999999999</v>
      </c>
      <c r="E518" s="35">
        <v>19.890999999999998</v>
      </c>
      <c r="F518" s="35">
        <v>187.821</v>
      </c>
      <c r="G518" s="361">
        <v>25.661000000000001</v>
      </c>
      <c r="H518" s="361">
        <v>-8.375</v>
      </c>
      <c r="I518" s="361">
        <v>25.420999999999999</v>
      </c>
      <c r="J518" s="361">
        <f t="shared" si="521"/>
        <v>20.995000000000001</v>
      </c>
      <c r="K518" s="35">
        <v>20.995000000000001</v>
      </c>
      <c r="L518" s="361">
        <v>78.257000000000005</v>
      </c>
      <c r="M518" s="361">
        <v>185.71100000000001</v>
      </c>
      <c r="N518" s="361">
        <v>253.89500000000001</v>
      </c>
      <c r="O518" s="361">
        <f t="shared" si="522"/>
        <v>414.85599999999999</v>
      </c>
      <c r="P518" s="35">
        <v>414.85599999999999</v>
      </c>
      <c r="Q518" s="361">
        <v>47.493000000000002</v>
      </c>
      <c r="R518" s="361">
        <v>61.261000000000003</v>
      </c>
      <c r="S518" s="361">
        <v>89.238</v>
      </c>
      <c r="T518" s="361">
        <f t="shared" si="523"/>
        <v>263.34500000000003</v>
      </c>
      <c r="U518" s="35">
        <v>263.34500000000003</v>
      </c>
      <c r="V518" s="361">
        <v>60.593000000000004</v>
      </c>
      <c r="W518" s="361">
        <v>212.94900000000001</v>
      </c>
      <c r="X518" s="361">
        <v>697.52800000000002</v>
      </c>
      <c r="Y518" s="361">
        <f t="shared" si="516"/>
        <v>750.64</v>
      </c>
      <c r="Z518" s="35">
        <v>750.64</v>
      </c>
      <c r="AA518" s="361">
        <v>2.5310000000000001</v>
      </c>
      <c r="AB518" s="361">
        <v>13.234</v>
      </c>
      <c r="AC518" s="361">
        <v>170.32599999999999</v>
      </c>
      <c r="AD518" s="361">
        <f t="shared" si="517"/>
        <v>388.20600000000002</v>
      </c>
      <c r="AE518" s="35">
        <v>388.20600000000002</v>
      </c>
      <c r="AF518" s="361">
        <v>317.983</v>
      </c>
      <c r="AG518" s="361">
        <v>909.72</v>
      </c>
      <c r="AH518" s="361">
        <v>1627.9970000000001</v>
      </c>
      <c r="AI518" s="361">
        <f t="shared" si="518"/>
        <v>1722.85</v>
      </c>
      <c r="AJ518" s="35">
        <v>1722.85</v>
      </c>
      <c r="AK518" s="361">
        <v>-27.577000000000002</v>
      </c>
      <c r="AL518" s="361">
        <v>49.898000000000003</v>
      </c>
      <c r="AM518" s="361">
        <v>142</v>
      </c>
      <c r="AN518" s="361">
        <f t="shared" si="519"/>
        <v>682</v>
      </c>
      <c r="AO518" s="35">
        <v>682</v>
      </c>
      <c r="AP518" s="361">
        <v>-265</v>
      </c>
      <c r="AQ518" s="361">
        <v>-372</v>
      </c>
      <c r="AR518" s="361">
        <v>765</v>
      </c>
      <c r="AS518" s="361">
        <f t="shared" si="520"/>
        <v>2102</v>
      </c>
      <c r="AT518" s="35">
        <v>2102</v>
      </c>
      <c r="AU518" s="439">
        <v>672</v>
      </c>
      <c r="AV518" s="439">
        <v>1592</v>
      </c>
      <c r="AW518" s="726">
        <v>2764</v>
      </c>
      <c r="AX518" s="439">
        <f t="shared" si="524"/>
        <v>0</v>
      </c>
      <c r="AY518" s="440"/>
      <c r="AZ518" s="439"/>
      <c r="BA518" s="439"/>
      <c r="BB518" s="439"/>
      <c r="BC518" s="439">
        <f t="shared" si="525"/>
        <v>0</v>
      </c>
      <c r="BD518" s="440"/>
      <c r="BE518" s="440"/>
      <c r="BF518" s="440"/>
      <c r="BG518" s="440"/>
      <c r="BH518" s="361"/>
    </row>
    <row r="519" spans="1:60" s="356" customFormat="1" hidden="1" outlineLevel="1" x14ac:dyDescent="0.25">
      <c r="A519" s="360" t="s">
        <v>193</v>
      </c>
      <c r="B519" s="450"/>
      <c r="C519" s="35">
        <v>3.387</v>
      </c>
      <c r="D519" s="35">
        <v>13.345000000000001</v>
      </c>
      <c r="E519" s="35">
        <v>10.62</v>
      </c>
      <c r="F519" s="35">
        <v>9.6029999999999998</v>
      </c>
      <c r="G519" s="361">
        <v>0.92600000000000005</v>
      </c>
      <c r="H519" s="361">
        <v>14.976000000000001</v>
      </c>
      <c r="I519" s="361">
        <v>34.332999999999998</v>
      </c>
      <c r="J519" s="361">
        <f t="shared" si="521"/>
        <v>66.418000000000006</v>
      </c>
      <c r="K519" s="35">
        <v>66.418000000000006</v>
      </c>
      <c r="L519" s="361">
        <v>19.28</v>
      </c>
      <c r="M519" s="439"/>
      <c r="N519" s="439"/>
      <c r="O519" s="361">
        <f t="shared" si="522"/>
        <v>0</v>
      </c>
      <c r="P519" s="440"/>
      <c r="Q519" s="439"/>
      <c r="R519" s="439"/>
      <c r="S519" s="439"/>
      <c r="T519" s="361">
        <f t="shared" si="523"/>
        <v>0</v>
      </c>
      <c r="U519" s="440"/>
      <c r="V519" s="439"/>
      <c r="W519" s="439"/>
      <c r="X519" s="439"/>
      <c r="Y519" s="361">
        <f t="shared" si="516"/>
        <v>0</v>
      </c>
      <c r="Z519" s="440"/>
      <c r="AA519" s="439"/>
      <c r="AB519" s="439"/>
      <c r="AC519" s="439"/>
      <c r="AD519" s="361">
        <f t="shared" si="517"/>
        <v>0</v>
      </c>
      <c r="AE519" s="440"/>
      <c r="AF519" s="439"/>
      <c r="AG519" s="439"/>
      <c r="AH519" s="439"/>
      <c r="AI519" s="361">
        <f t="shared" si="518"/>
        <v>0</v>
      </c>
      <c r="AJ519" s="440"/>
      <c r="AK519" s="439"/>
      <c r="AL519" s="439"/>
      <c r="AM519" s="439"/>
      <c r="AN519" s="361">
        <f t="shared" si="519"/>
        <v>0</v>
      </c>
      <c r="AO519" s="440"/>
      <c r="AP519" s="439"/>
      <c r="AQ519" s="439"/>
      <c r="AR519" s="439"/>
      <c r="AS519" s="361">
        <f t="shared" si="520"/>
        <v>0</v>
      </c>
      <c r="AT519" s="440"/>
      <c r="AU519" s="439"/>
      <c r="AV519" s="439"/>
      <c r="AW519" s="726"/>
      <c r="AX519" s="439">
        <f t="shared" si="524"/>
        <v>0</v>
      </c>
      <c r="AY519" s="440"/>
      <c r="AZ519" s="439"/>
      <c r="BA519" s="439"/>
      <c r="BB519" s="439"/>
      <c r="BC519" s="439">
        <f t="shared" si="525"/>
        <v>0</v>
      </c>
      <c r="BD519" s="440"/>
      <c r="BE519" s="440"/>
      <c r="BF519" s="440"/>
      <c r="BG519" s="440"/>
      <c r="BH519" s="361"/>
    </row>
    <row r="520" spans="1:60" s="356" customFormat="1" hidden="1" outlineLevel="1" x14ac:dyDescent="0.25">
      <c r="A520" s="360" t="s">
        <v>194</v>
      </c>
      <c r="B520" s="450"/>
      <c r="C520" s="35">
        <v>-10.016999999999999</v>
      </c>
      <c r="D520" s="35">
        <v>-0.156</v>
      </c>
      <c r="E520" s="440"/>
      <c r="F520" s="440"/>
      <c r="G520" s="439"/>
      <c r="H520" s="439"/>
      <c r="I520" s="439"/>
      <c r="J520" s="361">
        <f t="shared" si="521"/>
        <v>0</v>
      </c>
      <c r="K520" s="440"/>
      <c r="L520" s="439"/>
      <c r="M520" s="439"/>
      <c r="N520" s="439"/>
      <c r="O520" s="361">
        <f t="shared" si="522"/>
        <v>0</v>
      </c>
      <c r="P520" s="440"/>
      <c r="Q520" s="439"/>
      <c r="R520" s="439"/>
      <c r="S520" s="439"/>
      <c r="T520" s="361">
        <f t="shared" si="523"/>
        <v>0</v>
      </c>
      <c r="U520" s="440"/>
      <c r="V520" s="439"/>
      <c r="W520" s="439"/>
      <c r="X520" s="439"/>
      <c r="Y520" s="361">
        <f t="shared" si="516"/>
        <v>0</v>
      </c>
      <c r="Z520" s="440"/>
      <c r="AA520" s="439"/>
      <c r="AB520" s="439"/>
      <c r="AC520" s="439"/>
      <c r="AD520" s="361">
        <f t="shared" si="517"/>
        <v>0</v>
      </c>
      <c r="AE520" s="440"/>
      <c r="AF520" s="439"/>
      <c r="AG520" s="439"/>
      <c r="AH520" s="439"/>
      <c r="AI520" s="361">
        <f t="shared" si="518"/>
        <v>0</v>
      </c>
      <c r="AJ520" s="440"/>
      <c r="AK520" s="439"/>
      <c r="AL520" s="439"/>
      <c r="AM520" s="439"/>
      <c r="AN520" s="361">
        <f t="shared" si="519"/>
        <v>0</v>
      </c>
      <c r="AO520" s="440"/>
      <c r="AP520" s="439"/>
      <c r="AQ520" s="439"/>
      <c r="AR520" s="439"/>
      <c r="AS520" s="361">
        <f t="shared" si="520"/>
        <v>0</v>
      </c>
      <c r="AT520" s="440"/>
      <c r="AU520" s="439"/>
      <c r="AV520" s="439"/>
      <c r="AW520" s="726"/>
      <c r="AX520" s="439">
        <f t="shared" si="524"/>
        <v>0</v>
      </c>
      <c r="AY520" s="440"/>
      <c r="AZ520" s="439"/>
      <c r="BA520" s="439"/>
      <c r="BB520" s="439"/>
      <c r="BC520" s="439">
        <f t="shared" si="525"/>
        <v>0</v>
      </c>
      <c r="BD520" s="440"/>
      <c r="BE520" s="440"/>
      <c r="BF520" s="440"/>
      <c r="BG520" s="440"/>
      <c r="BH520" s="361"/>
    </row>
    <row r="521" spans="1:60" s="356" customFormat="1" hidden="1" outlineLevel="1" x14ac:dyDescent="0.25">
      <c r="A521" s="360" t="s">
        <v>195</v>
      </c>
      <c r="B521" s="450"/>
      <c r="C521" s="35">
        <v>-1.456</v>
      </c>
      <c r="D521" s="35">
        <v>4.8010000000000002</v>
      </c>
      <c r="E521" s="35">
        <v>-1.927</v>
      </c>
      <c r="F521" s="35">
        <v>-0.52600000000000002</v>
      </c>
      <c r="G521" s="361">
        <v>4.0590000000000002</v>
      </c>
      <c r="H521" s="361">
        <v>93.11</v>
      </c>
      <c r="I521" s="361">
        <v>190.03899999999999</v>
      </c>
      <c r="J521" s="361">
        <f t="shared" si="521"/>
        <v>268.09800000000001</v>
      </c>
      <c r="K521" s="35">
        <v>268.09800000000001</v>
      </c>
      <c r="L521" s="361">
        <v>50.393999999999998</v>
      </c>
      <c r="M521" s="361">
        <v>101.259</v>
      </c>
      <c r="N521" s="361">
        <v>142.494</v>
      </c>
      <c r="O521" s="361">
        <f t="shared" si="522"/>
        <v>209.68100000000001</v>
      </c>
      <c r="P521" s="35">
        <v>209.68100000000001</v>
      </c>
      <c r="Q521" s="361">
        <v>50.728999999999999</v>
      </c>
      <c r="R521" s="361">
        <v>116.812</v>
      </c>
      <c r="S521" s="361">
        <v>186.255</v>
      </c>
      <c r="T521" s="361">
        <f t="shared" si="523"/>
        <v>322.20299999999997</v>
      </c>
      <c r="U521" s="35">
        <v>322.20299999999997</v>
      </c>
      <c r="V521" s="361">
        <v>89.671000000000006</v>
      </c>
      <c r="W521" s="361">
        <v>165.14400000000001</v>
      </c>
      <c r="X521" s="361">
        <v>256.18700000000001</v>
      </c>
      <c r="Y521" s="361">
        <f t="shared" si="516"/>
        <v>382.96199999999999</v>
      </c>
      <c r="Z521" s="35">
        <v>382.96199999999999</v>
      </c>
      <c r="AA521" s="361">
        <v>103.941</v>
      </c>
      <c r="AB521" s="361">
        <v>208.685</v>
      </c>
      <c r="AC521" s="361">
        <v>329.00700000000001</v>
      </c>
      <c r="AD521" s="361">
        <f t="shared" si="517"/>
        <v>468.90199999999999</v>
      </c>
      <c r="AE521" s="35">
        <v>468.90199999999999</v>
      </c>
      <c r="AF521" s="361">
        <v>45.795000000000002</v>
      </c>
      <c r="AG521" s="361">
        <v>107.497</v>
      </c>
      <c r="AH521" s="361">
        <v>284.41699999999997</v>
      </c>
      <c r="AI521" s="361">
        <f t="shared" si="518"/>
        <v>406.661</v>
      </c>
      <c r="AJ521" s="35">
        <v>406.661</v>
      </c>
      <c r="AK521" s="361">
        <v>317.88799999999998</v>
      </c>
      <c r="AL521" s="361">
        <v>476.55599999999998</v>
      </c>
      <c r="AM521" s="361">
        <v>625</v>
      </c>
      <c r="AN521" s="361">
        <f t="shared" si="519"/>
        <v>801</v>
      </c>
      <c r="AO521" s="35">
        <v>801</v>
      </c>
      <c r="AP521" s="361">
        <v>53</v>
      </c>
      <c r="AQ521" s="361">
        <v>-20</v>
      </c>
      <c r="AR521" s="361">
        <v>118</v>
      </c>
      <c r="AS521" s="361">
        <f t="shared" si="520"/>
        <v>321</v>
      </c>
      <c r="AT521" s="35">
        <v>321</v>
      </c>
      <c r="AU521" s="439">
        <v>162</v>
      </c>
      <c r="AV521" s="439">
        <v>279</v>
      </c>
      <c r="AW521" s="726">
        <v>452</v>
      </c>
      <c r="AX521" s="439">
        <f t="shared" si="524"/>
        <v>0</v>
      </c>
      <c r="AY521" s="440"/>
      <c r="AZ521" s="439"/>
      <c r="BA521" s="439"/>
      <c r="BB521" s="439"/>
      <c r="BC521" s="439">
        <f t="shared" si="525"/>
        <v>0</v>
      </c>
      <c r="BD521" s="440"/>
      <c r="BE521" s="440"/>
      <c r="BF521" s="440"/>
      <c r="BG521" s="440"/>
      <c r="BH521" s="361"/>
    </row>
    <row r="522" spans="1:60" s="356" customFormat="1" hidden="1" outlineLevel="1" x14ac:dyDescent="0.25">
      <c r="A522" s="360" t="s">
        <v>196</v>
      </c>
      <c r="B522" s="450"/>
      <c r="C522" s="35">
        <v>-21.971</v>
      </c>
      <c r="D522" s="35">
        <v>4.7069999999999999</v>
      </c>
      <c r="E522" s="35">
        <v>61.006</v>
      </c>
      <c r="F522" s="35">
        <v>47.055999999999997</v>
      </c>
      <c r="G522" s="361">
        <v>-8.1029999999999998</v>
      </c>
      <c r="H522" s="361">
        <v>-4.2789999999999999</v>
      </c>
      <c r="I522" s="361">
        <v>2.2559999999999998</v>
      </c>
      <c r="J522" s="361">
        <f t="shared" si="521"/>
        <v>24.353999999999999</v>
      </c>
      <c r="K522" s="35">
        <v>24.353999999999999</v>
      </c>
      <c r="L522" s="361">
        <v>34.981000000000002</v>
      </c>
      <c r="M522" s="361">
        <v>64.945999999999998</v>
      </c>
      <c r="N522" s="361">
        <v>71.143000000000001</v>
      </c>
      <c r="O522" s="361">
        <f t="shared" si="522"/>
        <v>106.23</v>
      </c>
      <c r="P522" s="35">
        <v>106.23</v>
      </c>
      <c r="Q522" s="361">
        <v>-3.012</v>
      </c>
      <c r="R522" s="361">
        <v>19.573</v>
      </c>
      <c r="S522" s="361">
        <v>20.314</v>
      </c>
      <c r="T522" s="361">
        <f t="shared" si="523"/>
        <v>36.720999999999997</v>
      </c>
      <c r="U522" s="35">
        <v>36.720999999999997</v>
      </c>
      <c r="V522" s="361">
        <v>100.804</v>
      </c>
      <c r="W522" s="361">
        <v>398.55500000000001</v>
      </c>
      <c r="X522" s="361">
        <v>409.13900000000001</v>
      </c>
      <c r="Y522" s="361">
        <f t="shared" si="516"/>
        <v>388.36099999999999</v>
      </c>
      <c r="Z522" s="35">
        <v>388.36099999999999</v>
      </c>
      <c r="AA522" s="361">
        <v>-51.003999999999998</v>
      </c>
      <c r="AB522" s="361">
        <v>-71.063999999999993</v>
      </c>
      <c r="AC522" s="361">
        <v>3.8149999999999999</v>
      </c>
      <c r="AD522" s="361">
        <f t="shared" si="517"/>
        <v>170.02699999999999</v>
      </c>
      <c r="AE522" s="35">
        <v>170.02699999999999</v>
      </c>
      <c r="AF522" s="361">
        <v>67.358999999999995</v>
      </c>
      <c r="AG522" s="361">
        <v>42.92</v>
      </c>
      <c r="AH522" s="361">
        <v>9.4710000000000001</v>
      </c>
      <c r="AI522" s="361">
        <f t="shared" si="518"/>
        <v>-96.685000000000002</v>
      </c>
      <c r="AJ522" s="35">
        <v>-96.685000000000002</v>
      </c>
      <c r="AK522" s="361">
        <v>-25.172999999999998</v>
      </c>
      <c r="AL522" s="361">
        <v>-160.376</v>
      </c>
      <c r="AM522" s="361">
        <v>-114</v>
      </c>
      <c r="AN522" s="361">
        <f t="shared" si="519"/>
        <v>-58</v>
      </c>
      <c r="AO522" s="35">
        <v>-58</v>
      </c>
      <c r="AP522" s="361">
        <v>88</v>
      </c>
      <c r="AQ522" s="361">
        <v>5</v>
      </c>
      <c r="AR522" s="361">
        <v>-15</v>
      </c>
      <c r="AS522" s="361">
        <f t="shared" si="520"/>
        <v>7</v>
      </c>
      <c r="AT522" s="35">
        <v>7</v>
      </c>
      <c r="AU522" s="439">
        <v>-2</v>
      </c>
      <c r="AV522" s="439">
        <v>52</v>
      </c>
      <c r="AW522" s="726">
        <v>80</v>
      </c>
      <c r="AX522" s="439">
        <f t="shared" si="524"/>
        <v>0</v>
      </c>
      <c r="AY522" s="440"/>
      <c r="AZ522" s="439"/>
      <c r="BA522" s="439"/>
      <c r="BB522" s="439"/>
      <c r="BC522" s="439">
        <f t="shared" si="525"/>
        <v>0</v>
      </c>
      <c r="BD522" s="440"/>
      <c r="BE522" s="440"/>
      <c r="BF522" s="440"/>
      <c r="BG522" s="440"/>
      <c r="BH522" s="361"/>
    </row>
    <row r="523" spans="1:60" s="356" customFormat="1" hidden="1" outlineLevel="1" x14ac:dyDescent="0.25">
      <c r="A523" s="360" t="s">
        <v>197</v>
      </c>
      <c r="B523" s="450"/>
      <c r="C523" s="440"/>
      <c r="D523" s="440"/>
      <c r="E523" s="440"/>
      <c r="F523" s="440"/>
      <c r="G523" s="439"/>
      <c r="H523" s="361">
        <v>72.358000000000004</v>
      </c>
      <c r="I523" s="361">
        <v>159.01</v>
      </c>
      <c r="J523" s="361">
        <f t="shared" si="521"/>
        <v>236.29900000000001</v>
      </c>
      <c r="K523" s="35">
        <v>236.29900000000001</v>
      </c>
      <c r="L523" s="361">
        <v>54.317999999999998</v>
      </c>
      <c r="M523" s="361">
        <v>109.232</v>
      </c>
      <c r="N523" s="361">
        <v>161.78200000000001</v>
      </c>
      <c r="O523" s="361">
        <f t="shared" si="522"/>
        <v>249.49199999999999</v>
      </c>
      <c r="P523" s="35">
        <v>249.49199999999999</v>
      </c>
      <c r="Q523" s="361">
        <v>62.712000000000003</v>
      </c>
      <c r="R523" s="361">
        <v>143.21600000000001</v>
      </c>
      <c r="S523" s="361">
        <v>249.548</v>
      </c>
      <c r="T523" s="361">
        <f t="shared" si="523"/>
        <v>442.29500000000002</v>
      </c>
      <c r="U523" s="35">
        <v>442.29500000000002</v>
      </c>
      <c r="V523" s="361">
        <v>150.636</v>
      </c>
      <c r="W523" s="361">
        <v>253.71</v>
      </c>
      <c r="X523" s="361">
        <v>322.24400000000003</v>
      </c>
      <c r="Y523" s="361">
        <f t="shared" si="516"/>
        <v>326.93400000000003</v>
      </c>
      <c r="Z523" s="35">
        <v>326.93400000000003</v>
      </c>
      <c r="AA523" s="361">
        <v>184.57900000000001</v>
      </c>
      <c r="AB523" s="361">
        <v>176.505</v>
      </c>
      <c r="AC523" s="361">
        <v>141.04400000000001</v>
      </c>
      <c r="AD523" s="361">
        <f t="shared" si="517"/>
        <v>208.71799999999999</v>
      </c>
      <c r="AE523" s="35">
        <v>208.71799999999999</v>
      </c>
      <c r="AF523" s="439"/>
      <c r="AG523" s="361">
        <v>-39.563000000000002</v>
      </c>
      <c r="AH523" s="361">
        <v>-57.621000000000002</v>
      </c>
      <c r="AI523" s="361">
        <f t="shared" si="518"/>
        <v>-110.56399999999999</v>
      </c>
      <c r="AJ523" s="35">
        <v>-110.56399999999999</v>
      </c>
      <c r="AK523" s="361">
        <v>-47.393999999999998</v>
      </c>
      <c r="AL523" s="361">
        <v>-76.331999999999994</v>
      </c>
      <c r="AM523" s="361">
        <v>-112</v>
      </c>
      <c r="AN523" s="361">
        <f t="shared" si="519"/>
        <v>-150</v>
      </c>
      <c r="AO523" s="35">
        <v>-150</v>
      </c>
      <c r="AP523" s="439"/>
      <c r="AQ523" s="439"/>
      <c r="AR523" s="439"/>
      <c r="AS523" s="361">
        <f t="shared" si="520"/>
        <v>0</v>
      </c>
      <c r="AT523" s="440"/>
      <c r="AU523" s="439"/>
      <c r="AV523" s="439"/>
      <c r="AW523" s="726"/>
      <c r="AX523" s="439">
        <f t="shared" si="524"/>
        <v>0</v>
      </c>
      <c r="AY523" s="440"/>
      <c r="AZ523" s="439"/>
      <c r="BA523" s="439"/>
      <c r="BB523" s="439"/>
      <c r="BC523" s="439">
        <f t="shared" si="525"/>
        <v>0</v>
      </c>
      <c r="BD523" s="440"/>
      <c r="BE523" s="440"/>
      <c r="BF523" s="440"/>
      <c r="BG523" s="440"/>
      <c r="BH523" s="361"/>
    </row>
    <row r="524" spans="1:60" s="356" customFormat="1" hidden="1" outlineLevel="1" x14ac:dyDescent="0.25">
      <c r="A524" s="360" t="s">
        <v>198</v>
      </c>
      <c r="B524" s="450"/>
      <c r="C524" s="35">
        <v>2.1920000000000002</v>
      </c>
      <c r="D524" s="35">
        <v>3.5150000000000001</v>
      </c>
      <c r="E524" s="35">
        <v>2.641</v>
      </c>
      <c r="F524" s="35">
        <v>10.255000000000001</v>
      </c>
      <c r="G524" s="361">
        <v>9.8339999999999996</v>
      </c>
      <c r="H524" s="361">
        <v>18.065000000000001</v>
      </c>
      <c r="I524" s="361">
        <v>28.669</v>
      </c>
      <c r="J524" s="361">
        <f t="shared" si="521"/>
        <v>33.027000000000001</v>
      </c>
      <c r="K524" s="35">
        <v>33.027000000000001</v>
      </c>
      <c r="L524" s="361">
        <v>12.855</v>
      </c>
      <c r="M524" s="361">
        <v>20.827999999999999</v>
      </c>
      <c r="N524" s="361">
        <v>44.273000000000003</v>
      </c>
      <c r="O524" s="361">
        <f t="shared" si="522"/>
        <v>61.968000000000004</v>
      </c>
      <c r="P524" s="35">
        <v>61.968000000000004</v>
      </c>
      <c r="Q524" s="361">
        <v>41.457000000000001</v>
      </c>
      <c r="R524" s="361">
        <v>29.03</v>
      </c>
      <c r="S524" s="361">
        <v>40.229999999999997</v>
      </c>
      <c r="T524" s="361">
        <f t="shared" si="523"/>
        <v>23.696999999999999</v>
      </c>
      <c r="U524" s="35">
        <v>23.696999999999999</v>
      </c>
      <c r="V524" s="361">
        <v>15.260999999999999</v>
      </c>
      <c r="W524" s="361">
        <v>65.406999999999996</v>
      </c>
      <c r="X524" s="361">
        <v>44.31</v>
      </c>
      <c r="Y524" s="361">
        <f t="shared" si="516"/>
        <v>132.05699999999999</v>
      </c>
      <c r="Z524" s="35">
        <v>132.05699999999999</v>
      </c>
      <c r="AA524" s="361">
        <v>56.609000000000002</v>
      </c>
      <c r="AB524" s="361">
        <v>59.731999999999999</v>
      </c>
      <c r="AC524" s="361">
        <v>76.123999999999995</v>
      </c>
      <c r="AD524" s="361">
        <f t="shared" si="517"/>
        <v>81.138999999999996</v>
      </c>
      <c r="AE524" s="35">
        <v>81.138999999999996</v>
      </c>
      <c r="AF524" s="361">
        <v>-60.56</v>
      </c>
      <c r="AG524" s="361">
        <v>-18.076000000000001</v>
      </c>
      <c r="AH524" s="361">
        <v>74.231999999999999</v>
      </c>
      <c r="AI524" s="361">
        <f t="shared" si="518"/>
        <v>159.96600000000001</v>
      </c>
      <c r="AJ524" s="35">
        <v>159.96600000000001</v>
      </c>
      <c r="AK524" s="361">
        <v>19.974</v>
      </c>
      <c r="AL524" s="361">
        <v>114.91500000000001</v>
      </c>
      <c r="AM524" s="361">
        <v>171</v>
      </c>
      <c r="AN524" s="361">
        <f t="shared" si="519"/>
        <v>109</v>
      </c>
      <c r="AO524" s="35">
        <v>109</v>
      </c>
      <c r="AP524" s="361">
        <v>-17</v>
      </c>
      <c r="AQ524" s="361">
        <v>112</v>
      </c>
      <c r="AR524" s="361">
        <v>261</v>
      </c>
      <c r="AS524" s="361">
        <f t="shared" si="520"/>
        <v>495</v>
      </c>
      <c r="AT524" s="35">
        <v>495</v>
      </c>
      <c r="AU524" s="439">
        <v>23</v>
      </c>
      <c r="AV524" s="439">
        <v>47</v>
      </c>
      <c r="AW524" s="726">
        <v>247</v>
      </c>
      <c r="AX524" s="439">
        <f t="shared" si="524"/>
        <v>0</v>
      </c>
      <c r="AY524" s="440"/>
      <c r="AZ524" s="439"/>
      <c r="BA524" s="439"/>
      <c r="BB524" s="439"/>
      <c r="BC524" s="439">
        <f t="shared" si="525"/>
        <v>0</v>
      </c>
      <c r="BD524" s="440"/>
      <c r="BE524" s="440"/>
      <c r="BF524" s="440"/>
      <c r="BG524" s="440"/>
      <c r="BH524" s="361"/>
    </row>
    <row r="525" spans="1:60" s="356" customFormat="1" hidden="1" outlineLevel="1" x14ac:dyDescent="0.25">
      <c r="A525" s="533" t="s">
        <v>472</v>
      </c>
      <c r="B525" s="527"/>
      <c r="C525" s="479"/>
      <c r="D525" s="479"/>
      <c r="E525" s="479"/>
      <c r="F525" s="479"/>
      <c r="G525" s="459"/>
      <c r="H525" s="459"/>
      <c r="I525" s="459"/>
      <c r="J525" s="459"/>
      <c r="K525" s="479"/>
      <c r="L525" s="459"/>
      <c r="M525" s="459"/>
      <c r="N525" s="459"/>
      <c r="O525" s="459"/>
      <c r="P525" s="479"/>
      <c r="Q525" s="459"/>
      <c r="R525" s="459"/>
      <c r="S525" s="459"/>
      <c r="T525" s="459"/>
      <c r="U525" s="479"/>
      <c r="V525" s="459"/>
      <c r="W525" s="459"/>
      <c r="X525" s="459"/>
      <c r="Y525" s="459"/>
      <c r="Z525" s="479"/>
      <c r="AA525" s="459"/>
      <c r="AB525" s="459"/>
      <c r="AC525" s="459"/>
      <c r="AD525" s="459"/>
      <c r="AE525" s="479"/>
      <c r="AF525" s="459"/>
      <c r="AG525" s="459"/>
      <c r="AH525" s="459"/>
      <c r="AI525" s="459"/>
      <c r="AJ525" s="479"/>
      <c r="AK525" s="459"/>
      <c r="AL525" s="459"/>
      <c r="AM525" s="459"/>
      <c r="AN525" s="262">
        <f t="shared" si="519"/>
        <v>0</v>
      </c>
      <c r="AO525" s="479"/>
      <c r="AP525" s="459"/>
      <c r="AQ525" s="459"/>
      <c r="AR525" s="459"/>
      <c r="AS525" s="262">
        <f t="shared" si="520"/>
        <v>0</v>
      </c>
      <c r="AT525" s="479"/>
      <c r="AU525" s="459"/>
      <c r="AV525" s="459"/>
      <c r="AW525" s="723"/>
      <c r="AX525" s="459"/>
      <c r="AY525" s="479"/>
      <c r="AZ525" s="459"/>
      <c r="BA525" s="459"/>
      <c r="BB525" s="459"/>
      <c r="BC525" s="459"/>
      <c r="BD525" s="479"/>
      <c r="BE525" s="479"/>
      <c r="BF525" s="479"/>
      <c r="BG525" s="479"/>
      <c r="BH525" s="361"/>
    </row>
    <row r="526" spans="1:60" s="116" customFormat="1" hidden="1" outlineLevel="1" x14ac:dyDescent="0.25">
      <c r="A526" s="86" t="s">
        <v>199</v>
      </c>
      <c r="B526" s="529"/>
      <c r="C526" s="29">
        <f t="shared" ref="C526:AU526" si="526">SUM(C514:C525,C510:C511)</f>
        <v>-80.825000000000017</v>
      </c>
      <c r="D526" s="29">
        <f t="shared" si="526"/>
        <v>-127.74300000000001</v>
      </c>
      <c r="E526" s="29">
        <f t="shared" si="526"/>
        <v>-128.03399999999996</v>
      </c>
      <c r="F526" s="29">
        <f t="shared" si="526"/>
        <v>-266.08100000000007</v>
      </c>
      <c r="G526" s="30">
        <f t="shared" si="526"/>
        <v>64.079000000000008</v>
      </c>
      <c r="H526" s="30">
        <f t="shared" si="526"/>
        <v>28.780999999999992</v>
      </c>
      <c r="I526" s="30">
        <f t="shared" si="526"/>
        <v>130.81699999999998</v>
      </c>
      <c r="J526" s="30">
        <f t="shared" si="526"/>
        <v>264.80400000000003</v>
      </c>
      <c r="K526" s="29">
        <f t="shared" si="526"/>
        <v>264.80400000000003</v>
      </c>
      <c r="L526" s="30">
        <f t="shared" si="526"/>
        <v>58.722999999999999</v>
      </c>
      <c r="M526" s="30">
        <f t="shared" si="526"/>
        <v>57.06100000000005</v>
      </c>
      <c r="N526" s="30">
        <f t="shared" si="526"/>
        <v>29.064999999999941</v>
      </c>
      <c r="O526" s="30">
        <f t="shared" si="526"/>
        <v>-57.336999999999719</v>
      </c>
      <c r="P526" s="29">
        <f t="shared" si="526"/>
        <v>-57.336999999999719</v>
      </c>
      <c r="Q526" s="30">
        <f t="shared" si="526"/>
        <v>-131.79400000000007</v>
      </c>
      <c r="R526" s="30">
        <f t="shared" si="526"/>
        <v>-291.31000000000012</v>
      </c>
      <c r="S526" s="30">
        <f t="shared" si="526"/>
        <v>-494.65000000000003</v>
      </c>
      <c r="T526" s="30">
        <f t="shared" si="526"/>
        <v>-524.49900000000002</v>
      </c>
      <c r="U526" s="29">
        <f t="shared" si="526"/>
        <v>-524.49900000000002</v>
      </c>
      <c r="V526" s="30">
        <f t="shared" si="526"/>
        <v>-249.60500000000005</v>
      </c>
      <c r="W526" s="30">
        <f t="shared" si="526"/>
        <v>-99.268999999999963</v>
      </c>
      <c r="X526" s="30">
        <f t="shared" si="526"/>
        <v>324.38000000000005</v>
      </c>
      <c r="Y526" s="30">
        <f t="shared" si="526"/>
        <v>-123.82900000000001</v>
      </c>
      <c r="Z526" s="29">
        <f t="shared" si="526"/>
        <v>-123.82900000000001</v>
      </c>
      <c r="AA526" s="30">
        <f t="shared" si="526"/>
        <v>-69.811000000000064</v>
      </c>
      <c r="AB526" s="30">
        <f t="shared" si="526"/>
        <v>-269.98300000000017</v>
      </c>
      <c r="AC526" s="30">
        <f t="shared" si="526"/>
        <v>-570.54499999999996</v>
      </c>
      <c r="AD526" s="30">
        <f t="shared" si="526"/>
        <v>-60.653999999999954</v>
      </c>
      <c r="AE526" s="29">
        <f t="shared" si="526"/>
        <v>-60.653999999999954</v>
      </c>
      <c r="AF526" s="30">
        <f t="shared" si="526"/>
        <v>-398.37599999999992</v>
      </c>
      <c r="AG526" s="30">
        <f t="shared" si="526"/>
        <v>-528.04</v>
      </c>
      <c r="AH526" s="30">
        <f t="shared" si="526"/>
        <v>863.24099999999964</v>
      </c>
      <c r="AI526" s="30">
        <f t="shared" si="526"/>
        <v>2097.8019999999997</v>
      </c>
      <c r="AJ526" s="29">
        <f t="shared" si="526"/>
        <v>2097.8019999999997</v>
      </c>
      <c r="AK526" s="30">
        <f t="shared" si="526"/>
        <v>-639.60600000000011</v>
      </c>
      <c r="AL526" s="30">
        <f t="shared" si="526"/>
        <v>223.99999999999994</v>
      </c>
      <c r="AM526" s="30">
        <f t="shared" si="526"/>
        <v>980</v>
      </c>
      <c r="AN526" s="30">
        <f t="shared" si="526"/>
        <v>2405</v>
      </c>
      <c r="AO526" s="29">
        <f t="shared" si="526"/>
        <v>2405</v>
      </c>
      <c r="AP526" s="30">
        <f t="shared" si="526"/>
        <v>-440</v>
      </c>
      <c r="AQ526" s="30">
        <f t="shared" si="526"/>
        <v>524</v>
      </c>
      <c r="AR526" s="30">
        <f t="shared" si="526"/>
        <v>2924</v>
      </c>
      <c r="AS526" s="30">
        <f t="shared" si="526"/>
        <v>5943</v>
      </c>
      <c r="AT526" s="29">
        <f t="shared" si="526"/>
        <v>5943</v>
      </c>
      <c r="AU526" s="30">
        <f t="shared" si="526"/>
        <v>1641</v>
      </c>
      <c r="AV526" s="30">
        <f>SUM(AV514:AV525,AV510:AV511)</f>
        <v>3765</v>
      </c>
      <c r="AW526" s="724">
        <f>SUM(AW514:AW525,AW510:AW511)</f>
        <v>6912</v>
      </c>
      <c r="AX526" s="44">
        <f t="shared" ref="AX526:BG526" si="527">SUM(AX514:AX525,AX510:AX511)</f>
        <v>0</v>
      </c>
      <c r="AY526" s="45">
        <f t="shared" si="527"/>
        <v>0</v>
      </c>
      <c r="AZ526" s="44">
        <f t="shared" si="527"/>
        <v>0</v>
      </c>
      <c r="BA526" s="44">
        <f t="shared" si="527"/>
        <v>0</v>
      </c>
      <c r="BB526" s="44">
        <f t="shared" si="527"/>
        <v>0</v>
      </c>
      <c r="BC526" s="44">
        <f t="shared" si="527"/>
        <v>0</v>
      </c>
      <c r="BD526" s="45">
        <f t="shared" si="527"/>
        <v>0</v>
      </c>
      <c r="BE526" s="45">
        <f t="shared" si="527"/>
        <v>0</v>
      </c>
      <c r="BF526" s="45">
        <f t="shared" si="527"/>
        <v>0</v>
      </c>
      <c r="BG526" s="45">
        <f t="shared" si="527"/>
        <v>0</v>
      </c>
      <c r="BH526" s="368"/>
    </row>
    <row r="527" spans="1:60" s="116" customFormat="1" hidden="1" outlineLevel="1" x14ac:dyDescent="0.25">
      <c r="A527" s="530"/>
      <c r="B527" s="531"/>
      <c r="C527" s="438"/>
      <c r="D527" s="438"/>
      <c r="E527" s="438"/>
      <c r="F527" s="438"/>
      <c r="G527" s="437"/>
      <c r="H527" s="437"/>
      <c r="I527" s="437"/>
      <c r="J527" s="437"/>
      <c r="K527" s="438"/>
      <c r="L527" s="437"/>
      <c r="M527" s="437"/>
      <c r="N527" s="437"/>
      <c r="O527" s="437"/>
      <c r="P527" s="438"/>
      <c r="Q527" s="437"/>
      <c r="R527" s="437"/>
      <c r="S527" s="437"/>
      <c r="T527" s="437"/>
      <c r="U527" s="438"/>
      <c r="V527" s="437"/>
      <c r="W527" s="437"/>
      <c r="X527" s="437"/>
      <c r="Y527" s="437"/>
      <c r="Z527" s="438"/>
      <c r="AA527" s="437"/>
      <c r="AB527" s="437"/>
      <c r="AC527" s="437"/>
      <c r="AD527" s="437"/>
      <c r="AE527" s="438"/>
      <c r="AF527" s="437"/>
      <c r="AG527" s="437"/>
      <c r="AH527" s="437"/>
      <c r="AI527" s="437"/>
      <c r="AJ527" s="438"/>
      <c r="AK527" s="437"/>
      <c r="AL527" s="437"/>
      <c r="AM527" s="437"/>
      <c r="AN527" s="437"/>
      <c r="AO527" s="438"/>
      <c r="AP527" s="437"/>
      <c r="AQ527" s="437"/>
      <c r="AR527" s="437"/>
      <c r="AS527" s="437"/>
      <c r="AT527" s="438"/>
      <c r="AU527" s="437"/>
      <c r="AV527" s="437"/>
      <c r="AW527" s="725"/>
      <c r="AX527" s="437"/>
      <c r="AY527" s="438"/>
      <c r="AZ527" s="437"/>
      <c r="BA527" s="437"/>
      <c r="BB527" s="437"/>
      <c r="BC527" s="437"/>
      <c r="BD527" s="438"/>
      <c r="BE527" s="438"/>
      <c r="BF527" s="438"/>
      <c r="BG527" s="438"/>
      <c r="BH527" s="368"/>
    </row>
    <row r="528" spans="1:60" s="116" customFormat="1" hidden="1" outlineLevel="1" x14ac:dyDescent="0.25">
      <c r="A528" s="436" t="s">
        <v>200</v>
      </c>
      <c r="B528" s="531"/>
      <c r="C528" s="438"/>
      <c r="D528" s="438"/>
      <c r="E528" s="438"/>
      <c r="F528" s="438"/>
      <c r="G528" s="437"/>
      <c r="H528" s="437"/>
      <c r="I528" s="437"/>
      <c r="J528" s="437"/>
      <c r="K528" s="438"/>
      <c r="L528" s="437"/>
      <c r="M528" s="437"/>
      <c r="N528" s="437"/>
      <c r="O528" s="437"/>
      <c r="P528" s="438"/>
      <c r="Q528" s="437"/>
      <c r="R528" s="437"/>
      <c r="S528" s="437"/>
      <c r="T528" s="437"/>
      <c r="U528" s="438"/>
      <c r="V528" s="437"/>
      <c r="W528" s="437"/>
      <c r="X528" s="437"/>
      <c r="Y528" s="437"/>
      <c r="Z528" s="438"/>
      <c r="AA528" s="437"/>
      <c r="AB528" s="437"/>
      <c r="AC528" s="437"/>
      <c r="AD528" s="437"/>
      <c r="AE528" s="438"/>
      <c r="AF528" s="437"/>
      <c r="AG528" s="437"/>
      <c r="AH528" s="437"/>
      <c r="AI528" s="437"/>
      <c r="AJ528" s="438"/>
      <c r="AK528" s="437"/>
      <c r="AL528" s="437"/>
      <c r="AM528" s="437"/>
      <c r="AN528" s="437"/>
      <c r="AO528" s="438"/>
      <c r="AP528" s="437"/>
      <c r="AQ528" s="437"/>
      <c r="AR528" s="437"/>
      <c r="AS528" s="437"/>
      <c r="AT528" s="438"/>
      <c r="AU528" s="437"/>
      <c r="AV528" s="437"/>
      <c r="AW528" s="725"/>
      <c r="AX528" s="437"/>
      <c r="AY528" s="438"/>
      <c r="AZ528" s="437"/>
      <c r="BA528" s="437"/>
      <c r="BB528" s="437"/>
      <c r="BC528" s="437"/>
      <c r="BD528" s="438"/>
      <c r="BE528" s="438"/>
      <c r="BF528" s="438"/>
      <c r="BG528" s="438"/>
      <c r="BH528" s="368"/>
    </row>
    <row r="529" spans="1:60" s="356" customFormat="1" hidden="1" outlineLevel="1" x14ac:dyDescent="0.25">
      <c r="A529" s="360" t="s">
        <v>201</v>
      </c>
      <c r="B529" s="450"/>
      <c r="C529" s="35">
        <v>-11.884</v>
      </c>
      <c r="D529" s="35">
        <v>-40.203000000000003</v>
      </c>
      <c r="E529" s="35">
        <v>-184.226</v>
      </c>
      <c r="F529" s="35">
        <v>-239.22800000000001</v>
      </c>
      <c r="G529" s="361">
        <v>-57.726999999999997</v>
      </c>
      <c r="H529" s="361">
        <v>-98.242000000000004</v>
      </c>
      <c r="I529" s="361">
        <v>-174.79</v>
      </c>
      <c r="J529" s="361">
        <f>K529</f>
        <v>-264.22399999999999</v>
      </c>
      <c r="K529" s="35">
        <v>-264.22399999999999</v>
      </c>
      <c r="L529" s="361">
        <v>-141.364</v>
      </c>
      <c r="M529" s="361">
        <v>-317.04899999999998</v>
      </c>
      <c r="N529" s="361">
        <v>-601.22400000000005</v>
      </c>
      <c r="O529" s="361">
        <f>P529</f>
        <v>-969.88499999999999</v>
      </c>
      <c r="P529" s="35">
        <v>-969.88499999999999</v>
      </c>
      <c r="Q529" s="361">
        <v>-426.06</v>
      </c>
      <c r="R529" s="361">
        <v>-831.22500000000002</v>
      </c>
      <c r="S529" s="361">
        <v>-1223.6279999999999</v>
      </c>
      <c r="T529" s="361">
        <f>U529</f>
        <v>-1634.85</v>
      </c>
      <c r="U529" s="35">
        <v>-1634.85</v>
      </c>
      <c r="V529" s="361">
        <v>-216.85900000000001</v>
      </c>
      <c r="W529" s="361">
        <v>-511.57900000000001</v>
      </c>
      <c r="X529" s="361">
        <v>-759.19</v>
      </c>
      <c r="Y529" s="361">
        <f>Z529</f>
        <v>-1280.8019999999999</v>
      </c>
      <c r="Z529" s="35">
        <v>-1280.8019999999999</v>
      </c>
      <c r="AA529" s="361">
        <v>-552.62400000000002</v>
      </c>
      <c r="AB529" s="361">
        <v>-1511.692</v>
      </c>
      <c r="AC529" s="361">
        <v>-2628.1260000000002</v>
      </c>
      <c r="AD529" s="361">
        <f>AE529</f>
        <v>-3414.8139999999999</v>
      </c>
      <c r="AE529" s="35">
        <v>-3414.8139999999999</v>
      </c>
      <c r="AF529" s="361">
        <v>-655.66200000000003</v>
      </c>
      <c r="AG529" s="361">
        <v>-1265.4749999999999</v>
      </c>
      <c r="AH529" s="361">
        <v>-1775.7460000000001</v>
      </c>
      <c r="AI529" s="361">
        <f>AJ529</f>
        <v>-2100.7240000000002</v>
      </c>
      <c r="AJ529" s="35">
        <v>-2100.7240000000002</v>
      </c>
      <c r="AK529" s="361">
        <v>-279.93200000000002</v>
      </c>
      <c r="AL529" s="361">
        <v>-529.60900000000004</v>
      </c>
      <c r="AM529" s="361">
        <v>-915</v>
      </c>
      <c r="AN529" s="361">
        <f t="shared" ref="AN529:AN540" si="528">AO529</f>
        <v>-1327</v>
      </c>
      <c r="AO529" s="35">
        <v>-1327</v>
      </c>
      <c r="AP529" s="361">
        <v>-455</v>
      </c>
      <c r="AQ529" s="361">
        <v>-1001</v>
      </c>
      <c r="AR529" s="361">
        <v>-2006</v>
      </c>
      <c r="AS529" s="361">
        <f t="shared" ref="AS529:AS540" si="529">AT529</f>
        <v>-3157</v>
      </c>
      <c r="AT529" s="35">
        <v>-3157</v>
      </c>
      <c r="AU529" s="361">
        <v>-1348</v>
      </c>
      <c r="AV529" s="439">
        <v>-2853</v>
      </c>
      <c r="AW529" s="726">
        <v>-4672</v>
      </c>
      <c r="AX529" s="439">
        <f>AY529</f>
        <v>0</v>
      </c>
      <c r="AY529" s="440"/>
      <c r="AZ529" s="439"/>
      <c r="BA529" s="439"/>
      <c r="BB529" s="439"/>
      <c r="BC529" s="439">
        <f>BD529</f>
        <v>0</v>
      </c>
      <c r="BD529" s="440"/>
      <c r="BE529" s="440"/>
      <c r="BF529" s="440"/>
      <c r="BG529" s="440"/>
      <c r="BH529" s="361"/>
    </row>
    <row r="530" spans="1:60" s="356" customFormat="1" hidden="1" outlineLevel="1" x14ac:dyDescent="0.25">
      <c r="A530" s="360" t="s">
        <v>202</v>
      </c>
      <c r="B530" s="450"/>
      <c r="C530" s="440"/>
      <c r="D530" s="440"/>
      <c r="E530" s="440"/>
      <c r="F530" s="440"/>
      <c r="G530" s="439"/>
      <c r="H530" s="439"/>
      <c r="I530" s="439"/>
      <c r="J530" s="439"/>
      <c r="K530" s="440"/>
      <c r="L530" s="439"/>
      <c r="M530" s="439"/>
      <c r="N530" s="439"/>
      <c r="O530" s="439"/>
      <c r="P530" s="440"/>
      <c r="Q530" s="439"/>
      <c r="R530" s="439"/>
      <c r="S530" s="439"/>
      <c r="T530" s="439"/>
      <c r="U530" s="440"/>
      <c r="V530" s="439"/>
      <c r="W530" s="439"/>
      <c r="X530" s="439"/>
      <c r="Y530" s="361">
        <f>Z530</f>
        <v>-159.66900000000001</v>
      </c>
      <c r="Z530" s="35">
        <v>-159.66900000000001</v>
      </c>
      <c r="AA530" s="361">
        <v>-219.94800000000001</v>
      </c>
      <c r="AB530" s="361">
        <v>-418.79199999999997</v>
      </c>
      <c r="AC530" s="361">
        <v>-547.08500000000004</v>
      </c>
      <c r="AD530" s="361">
        <f>AE530</f>
        <v>-666.54</v>
      </c>
      <c r="AE530" s="35">
        <v>-666.54</v>
      </c>
      <c r="AF530" s="361">
        <v>-72.974999999999994</v>
      </c>
      <c r="AG530" s="361">
        <v>-140.375</v>
      </c>
      <c r="AH530" s="361">
        <v>-189.869</v>
      </c>
      <c r="AI530" s="361">
        <f>AJ530</f>
        <v>-218.792</v>
      </c>
      <c r="AJ530" s="35">
        <v>-218.792</v>
      </c>
      <c r="AK530" s="361">
        <v>-25.260999999999999</v>
      </c>
      <c r="AL530" s="361">
        <v>-43.457999999999998</v>
      </c>
      <c r="AM530" s="361">
        <v>-68</v>
      </c>
      <c r="AN530" s="361">
        <f t="shared" si="528"/>
        <v>-105</v>
      </c>
      <c r="AO530" s="35">
        <v>-105</v>
      </c>
      <c r="AP530" s="361">
        <v>-26</v>
      </c>
      <c r="AQ530" s="361">
        <v>-46</v>
      </c>
      <c r="AR530" s="361">
        <v>-62</v>
      </c>
      <c r="AS530" s="361">
        <f t="shared" si="529"/>
        <v>-75</v>
      </c>
      <c r="AT530" s="35">
        <v>-75</v>
      </c>
      <c r="AU530" s="361">
        <v>-12</v>
      </c>
      <c r="AV530" s="439">
        <v>-22</v>
      </c>
      <c r="AW530" s="726">
        <v>-28</v>
      </c>
      <c r="AX530" s="439"/>
      <c r="AY530" s="440"/>
      <c r="AZ530" s="439"/>
      <c r="BA530" s="439"/>
      <c r="BB530" s="439"/>
      <c r="BC530" s="439"/>
      <c r="BD530" s="440"/>
      <c r="BE530" s="440"/>
      <c r="BF530" s="440"/>
      <c r="BG530" s="440"/>
      <c r="BH530" s="361"/>
    </row>
    <row r="531" spans="1:60" s="356" customFormat="1" hidden="1" outlineLevel="1" x14ac:dyDescent="0.25">
      <c r="A531" s="360" t="s">
        <v>473</v>
      </c>
      <c r="B531" s="450"/>
      <c r="C531" s="440"/>
      <c r="D531" s="440"/>
      <c r="E531" s="440"/>
      <c r="F531" s="440"/>
      <c r="G531" s="439"/>
      <c r="H531" s="439"/>
      <c r="I531" s="439"/>
      <c r="J531" s="439"/>
      <c r="K531" s="440"/>
      <c r="L531" s="439"/>
      <c r="M531" s="439"/>
      <c r="N531" s="439"/>
      <c r="O531" s="439"/>
      <c r="P531" s="440"/>
      <c r="Q531" s="439"/>
      <c r="R531" s="439"/>
      <c r="S531" s="439"/>
      <c r="T531" s="439"/>
      <c r="U531" s="440"/>
      <c r="V531" s="439"/>
      <c r="W531" s="439"/>
      <c r="X531" s="439"/>
      <c r="Y531" s="439"/>
      <c r="Z531" s="440"/>
      <c r="AA531" s="439"/>
      <c r="AB531" s="439"/>
      <c r="AC531" s="439"/>
      <c r="AD531" s="439"/>
      <c r="AE531" s="440"/>
      <c r="AF531" s="439"/>
      <c r="AG531" s="439"/>
      <c r="AH531" s="439"/>
      <c r="AI531" s="439"/>
      <c r="AJ531" s="440"/>
      <c r="AK531" s="439"/>
      <c r="AL531" s="361">
        <v>-5.3330000000000002</v>
      </c>
      <c r="AM531" s="361">
        <v>-5</v>
      </c>
      <c r="AN531" s="361">
        <f t="shared" si="528"/>
        <v>-5</v>
      </c>
      <c r="AO531" s="35">
        <v>-5</v>
      </c>
      <c r="AP531" s="439"/>
      <c r="AQ531" s="439"/>
      <c r="AR531" s="361">
        <v>-5</v>
      </c>
      <c r="AS531" s="361">
        <f t="shared" si="529"/>
        <v>-10</v>
      </c>
      <c r="AT531" s="35">
        <v>-10</v>
      </c>
      <c r="AU531" s="439"/>
      <c r="AV531" s="439"/>
      <c r="AW531" s="726"/>
      <c r="AX531" s="439"/>
      <c r="AY531" s="440"/>
      <c r="AZ531" s="439"/>
      <c r="BA531" s="439"/>
      <c r="BB531" s="439"/>
      <c r="BC531" s="439"/>
      <c r="BD531" s="440"/>
      <c r="BE531" s="440"/>
      <c r="BF531" s="440"/>
      <c r="BG531" s="440"/>
      <c r="BH531" s="361"/>
    </row>
    <row r="532" spans="1:60" s="356" customFormat="1" hidden="1" outlineLevel="1" x14ac:dyDescent="0.25">
      <c r="A532" s="360" t="s">
        <v>488</v>
      </c>
      <c r="B532" s="450"/>
      <c r="C532" s="440"/>
      <c r="D532" s="440"/>
      <c r="E532" s="440"/>
      <c r="F532" s="440"/>
      <c r="G532" s="439"/>
      <c r="H532" s="439"/>
      <c r="I532" s="439"/>
      <c r="J532" s="439"/>
      <c r="K532" s="440"/>
      <c r="L532" s="439"/>
      <c r="M532" s="439"/>
      <c r="N532" s="439"/>
      <c r="O532" s="439"/>
      <c r="P532" s="440"/>
      <c r="Q532" s="439"/>
      <c r="R532" s="439"/>
      <c r="S532" s="439"/>
      <c r="T532" s="439"/>
      <c r="U532" s="440"/>
      <c r="V532" s="439"/>
      <c r="W532" s="439"/>
      <c r="X532" s="439"/>
      <c r="Y532" s="439"/>
      <c r="Z532" s="440"/>
      <c r="AA532" s="439"/>
      <c r="AB532" s="439"/>
      <c r="AC532" s="439"/>
      <c r="AD532" s="439"/>
      <c r="AE532" s="440"/>
      <c r="AF532" s="439"/>
      <c r="AG532" s="439"/>
      <c r="AH532" s="439"/>
      <c r="AI532" s="439"/>
      <c r="AJ532" s="440"/>
      <c r="AK532" s="439"/>
      <c r="AL532" s="439"/>
      <c r="AM532" s="439"/>
      <c r="AN532" s="361">
        <f t="shared" si="528"/>
        <v>46</v>
      </c>
      <c r="AO532" s="35">
        <v>46</v>
      </c>
      <c r="AP532" s="361">
        <v>1</v>
      </c>
      <c r="AQ532" s="361">
        <v>1</v>
      </c>
      <c r="AR532" s="361">
        <v>1</v>
      </c>
      <c r="AS532" s="361">
        <f t="shared" si="529"/>
        <v>123</v>
      </c>
      <c r="AT532" s="35">
        <v>123</v>
      </c>
      <c r="AU532" s="361">
        <v>6</v>
      </c>
      <c r="AV532" s="439">
        <v>6</v>
      </c>
      <c r="AW532" s="726">
        <v>6</v>
      </c>
      <c r="AX532" s="439"/>
      <c r="AY532" s="440"/>
      <c r="AZ532" s="439"/>
      <c r="BA532" s="439"/>
      <c r="BB532" s="439"/>
      <c r="BC532" s="439"/>
      <c r="BD532" s="440"/>
      <c r="BE532" s="440"/>
      <c r="BF532" s="440"/>
      <c r="BG532" s="440"/>
      <c r="BH532" s="361"/>
    </row>
    <row r="533" spans="1:60" s="356" customFormat="1" hidden="1" outlineLevel="1" x14ac:dyDescent="0.25">
      <c r="A533" s="360" t="s">
        <v>585</v>
      </c>
      <c r="B533" s="450"/>
      <c r="C533" s="440"/>
      <c r="D533" s="440"/>
      <c r="E533" s="440"/>
      <c r="F533" s="440"/>
      <c r="G533" s="439"/>
      <c r="H533" s="439"/>
      <c r="I533" s="439"/>
      <c r="J533" s="439"/>
      <c r="K533" s="440"/>
      <c r="L533" s="439"/>
      <c r="M533" s="439"/>
      <c r="N533" s="439"/>
      <c r="O533" s="439"/>
      <c r="P533" s="440"/>
      <c r="Q533" s="439"/>
      <c r="R533" s="439"/>
      <c r="S533" s="439"/>
      <c r="T533" s="439"/>
      <c r="U533" s="440"/>
      <c r="V533" s="439"/>
      <c r="W533" s="439"/>
      <c r="X533" s="439"/>
      <c r="Y533" s="439"/>
      <c r="Z533" s="440"/>
      <c r="AA533" s="439"/>
      <c r="AB533" s="439"/>
      <c r="AC533" s="439"/>
      <c r="AD533" s="439"/>
      <c r="AE533" s="440"/>
      <c r="AF533" s="439"/>
      <c r="AG533" s="439"/>
      <c r="AH533" s="439"/>
      <c r="AI533" s="439"/>
      <c r="AJ533" s="440"/>
      <c r="AK533" s="439"/>
      <c r="AL533" s="439"/>
      <c r="AM533" s="439"/>
      <c r="AN533" s="439"/>
      <c r="AO533" s="440"/>
      <c r="AP533" s="439"/>
      <c r="AQ533" s="439"/>
      <c r="AR533" s="439"/>
      <c r="AS533" s="439"/>
      <c r="AT533" s="440"/>
      <c r="AU533" s="361">
        <v>-1500</v>
      </c>
      <c r="AV533" s="439">
        <v>-1500</v>
      </c>
      <c r="AW533" s="726">
        <v>-1500</v>
      </c>
      <c r="AX533" s="439"/>
      <c r="AY533" s="440"/>
      <c r="AZ533" s="439"/>
      <c r="BA533" s="439"/>
      <c r="BB533" s="439"/>
      <c r="BC533" s="439"/>
      <c r="BD533" s="440"/>
      <c r="BE533" s="440"/>
      <c r="BF533" s="440"/>
      <c r="BG533" s="440"/>
      <c r="BH533" s="361"/>
    </row>
    <row r="534" spans="1:60" s="356" customFormat="1" hidden="1" outlineLevel="1" x14ac:dyDescent="0.25">
      <c r="A534" s="360" t="s">
        <v>586</v>
      </c>
      <c r="B534" s="450"/>
      <c r="C534" s="440"/>
      <c r="D534" s="440"/>
      <c r="E534" s="440"/>
      <c r="F534" s="440"/>
      <c r="G534" s="439"/>
      <c r="H534" s="439"/>
      <c r="I534" s="439"/>
      <c r="J534" s="439"/>
      <c r="K534" s="440"/>
      <c r="L534" s="439"/>
      <c r="M534" s="439"/>
      <c r="N534" s="439"/>
      <c r="O534" s="439"/>
      <c r="P534" s="440"/>
      <c r="Q534" s="439"/>
      <c r="R534" s="439"/>
      <c r="S534" s="439"/>
      <c r="T534" s="439"/>
      <c r="U534" s="440"/>
      <c r="V534" s="439"/>
      <c r="W534" s="439"/>
      <c r="X534" s="439"/>
      <c r="Y534" s="439"/>
      <c r="Z534" s="440"/>
      <c r="AA534" s="439"/>
      <c r="AB534" s="439"/>
      <c r="AC534" s="439"/>
      <c r="AD534" s="439"/>
      <c r="AE534" s="440"/>
      <c r="AF534" s="439"/>
      <c r="AG534" s="439"/>
      <c r="AH534" s="439"/>
      <c r="AI534" s="439"/>
      <c r="AJ534" s="440"/>
      <c r="AK534" s="439"/>
      <c r="AL534" s="439"/>
      <c r="AM534" s="439"/>
      <c r="AN534" s="439"/>
      <c r="AO534" s="440"/>
      <c r="AP534" s="439"/>
      <c r="AQ534" s="439"/>
      <c r="AR534" s="439"/>
      <c r="AS534" s="439"/>
      <c r="AT534" s="440"/>
      <c r="AU534" s="361">
        <v>272</v>
      </c>
      <c r="AV534" s="439">
        <v>272</v>
      </c>
      <c r="AW534" s="726">
        <v>272</v>
      </c>
      <c r="AX534" s="439"/>
      <c r="AY534" s="440"/>
      <c r="AZ534" s="439"/>
      <c r="BA534" s="439"/>
      <c r="BB534" s="439"/>
      <c r="BC534" s="439"/>
      <c r="BD534" s="440"/>
      <c r="BE534" s="440"/>
      <c r="BF534" s="440"/>
      <c r="BG534" s="440"/>
      <c r="BH534" s="361"/>
    </row>
    <row r="535" spans="1:60" s="356" customFormat="1" hidden="1" outlineLevel="1" x14ac:dyDescent="0.25">
      <c r="A535" s="360" t="s">
        <v>203</v>
      </c>
      <c r="B535" s="450"/>
      <c r="C535" s="440"/>
      <c r="D535" s="35">
        <v>-73.596999999999994</v>
      </c>
      <c r="E535" s="35">
        <v>50.121000000000002</v>
      </c>
      <c r="F535" s="35">
        <v>8.6199999999999992</v>
      </c>
      <c r="G535" s="361">
        <v>-6.9000000000000006E-2</v>
      </c>
      <c r="H535" s="361">
        <v>14.752000000000001</v>
      </c>
      <c r="I535" s="361">
        <v>14.752000000000001</v>
      </c>
      <c r="J535" s="361">
        <f>K535</f>
        <v>14.752000000000001</v>
      </c>
      <c r="K535" s="35">
        <v>14.752000000000001</v>
      </c>
      <c r="L535" s="439"/>
      <c r="M535" s="439"/>
      <c r="N535" s="439"/>
      <c r="O535" s="361">
        <f>P535</f>
        <v>0</v>
      </c>
      <c r="P535" s="440"/>
      <c r="Q535" s="439"/>
      <c r="R535" s="439"/>
      <c r="S535" s="439"/>
      <c r="T535" s="361">
        <f>U535</f>
        <v>0</v>
      </c>
      <c r="U535" s="440"/>
      <c r="V535" s="439"/>
      <c r="W535" s="439"/>
      <c r="X535" s="439"/>
      <c r="Y535" s="361">
        <f>Z535</f>
        <v>0</v>
      </c>
      <c r="Z535" s="35">
        <v>0</v>
      </c>
      <c r="AA535" s="439"/>
      <c r="AB535" s="439"/>
      <c r="AC535" s="439"/>
      <c r="AD535" s="361">
        <f>AE535</f>
        <v>0</v>
      </c>
      <c r="AE535" s="35">
        <v>0</v>
      </c>
      <c r="AF535" s="439"/>
      <c r="AG535" s="439"/>
      <c r="AH535" s="439"/>
      <c r="AI535" s="361">
        <f t="shared" ref="AI535:AI540" si="530">AJ535</f>
        <v>0</v>
      </c>
      <c r="AJ535" s="440"/>
      <c r="AK535" s="439"/>
      <c r="AL535" s="439"/>
      <c r="AM535" s="439"/>
      <c r="AN535" s="361">
        <f t="shared" si="528"/>
        <v>0</v>
      </c>
      <c r="AO535" s="440"/>
      <c r="AP535" s="439"/>
      <c r="AQ535" s="439"/>
      <c r="AR535" s="439"/>
      <c r="AS535" s="361">
        <f t="shared" si="529"/>
        <v>0</v>
      </c>
      <c r="AT535" s="440"/>
      <c r="AU535" s="439"/>
      <c r="AV535" s="439"/>
      <c r="AW535" s="726"/>
      <c r="AX535" s="439">
        <f>AY535</f>
        <v>0</v>
      </c>
      <c r="AY535" s="440"/>
      <c r="AZ535" s="439"/>
      <c r="BA535" s="439"/>
      <c r="BB535" s="439"/>
      <c r="BC535" s="439">
        <f>BD535</f>
        <v>0</v>
      </c>
      <c r="BD535" s="440"/>
      <c r="BE535" s="440"/>
      <c r="BF535" s="440"/>
      <c r="BG535" s="440"/>
      <c r="BH535" s="361"/>
    </row>
    <row r="536" spans="1:60" s="356" customFormat="1" hidden="1" outlineLevel="1" x14ac:dyDescent="0.25">
      <c r="A536" s="360" t="s">
        <v>204</v>
      </c>
      <c r="B536" s="450"/>
      <c r="C536" s="35">
        <v>-2.36</v>
      </c>
      <c r="D536" s="35">
        <v>-1.2869999999999999</v>
      </c>
      <c r="E536" s="35">
        <v>-3.2010000000000001</v>
      </c>
      <c r="F536" s="35">
        <v>-1.33</v>
      </c>
      <c r="G536" s="361">
        <v>2.56</v>
      </c>
      <c r="H536" s="361">
        <v>1.08</v>
      </c>
      <c r="I536" s="361">
        <v>0.126</v>
      </c>
      <c r="J536" s="361">
        <f>K536</f>
        <v>5.5E-2</v>
      </c>
      <c r="K536" s="35">
        <v>5.5E-2</v>
      </c>
      <c r="L536" s="361">
        <v>1.2949999999999999</v>
      </c>
      <c r="M536" s="361">
        <v>1.6160000000000001</v>
      </c>
      <c r="N536" s="361">
        <v>-0.28899999999999998</v>
      </c>
      <c r="O536" s="361">
        <f>P536</f>
        <v>-3.8490000000000002</v>
      </c>
      <c r="P536" s="35">
        <v>-3.8490000000000002</v>
      </c>
      <c r="Q536" s="361">
        <v>-6.2839999999999998</v>
      </c>
      <c r="R536" s="361">
        <v>-11.696</v>
      </c>
      <c r="S536" s="361">
        <v>-23.382999999999999</v>
      </c>
      <c r="T536" s="361">
        <f>U536</f>
        <v>-26.440999999999999</v>
      </c>
      <c r="U536" s="35">
        <v>-26.440999999999999</v>
      </c>
      <c r="V536" s="361">
        <v>-16.96</v>
      </c>
      <c r="W536" s="361">
        <v>-58.761000000000003</v>
      </c>
      <c r="X536" s="361">
        <v>-79.156000000000006</v>
      </c>
      <c r="Y536" s="361">
        <f>Z536</f>
        <v>-206.149</v>
      </c>
      <c r="Z536" s="35">
        <v>-206.149</v>
      </c>
      <c r="AA536" s="361">
        <v>-45.223999999999997</v>
      </c>
      <c r="AB536" s="361">
        <v>-102.52800000000001</v>
      </c>
      <c r="AC536" s="361">
        <v>-172.733</v>
      </c>
      <c r="AD536" s="361">
        <f>AE536</f>
        <v>-223.09</v>
      </c>
      <c r="AE536" s="35">
        <v>-223.09</v>
      </c>
      <c r="AF536" s="439"/>
      <c r="AG536" s="439"/>
      <c r="AH536" s="439"/>
      <c r="AI536" s="361">
        <f t="shared" si="530"/>
        <v>0</v>
      </c>
      <c r="AJ536" s="440"/>
      <c r="AK536" s="439"/>
      <c r="AL536" s="439"/>
      <c r="AM536" s="439"/>
      <c r="AN536" s="361">
        <f t="shared" si="528"/>
        <v>0</v>
      </c>
      <c r="AO536" s="440"/>
      <c r="AP536" s="439"/>
      <c r="AQ536" s="439"/>
      <c r="AR536" s="439"/>
      <c r="AS536" s="361">
        <f t="shared" si="529"/>
        <v>0</v>
      </c>
      <c r="AT536" s="440"/>
      <c r="AU536" s="439"/>
      <c r="AV536" s="439"/>
      <c r="AW536" s="726"/>
      <c r="AX536" s="439">
        <f>AY536</f>
        <v>0</v>
      </c>
      <c r="AY536" s="440"/>
      <c r="AZ536" s="439"/>
      <c r="BA536" s="439"/>
      <c r="BB536" s="439"/>
      <c r="BC536" s="439">
        <f>BD536</f>
        <v>0</v>
      </c>
      <c r="BD536" s="440"/>
      <c r="BE536" s="440"/>
      <c r="BF536" s="440"/>
      <c r="BG536" s="440"/>
      <c r="BH536" s="361"/>
    </row>
    <row r="537" spans="1:60" s="356" customFormat="1" hidden="1" outlineLevel="1" x14ac:dyDescent="0.25">
      <c r="A537" s="360" t="s">
        <v>205</v>
      </c>
      <c r="B537" s="450"/>
      <c r="C537" s="440"/>
      <c r="D537" s="440"/>
      <c r="E537" s="35">
        <v>-64.951999999999998</v>
      </c>
      <c r="F537" s="35">
        <v>-14.992000000000001</v>
      </c>
      <c r="G537" s="439"/>
      <c r="H537" s="439"/>
      <c r="I537" s="439"/>
      <c r="J537" s="361">
        <f>K537</f>
        <v>0</v>
      </c>
      <c r="K537" s="440"/>
      <c r="L537" s="361">
        <v>-189.11099999999999</v>
      </c>
      <c r="M537" s="361">
        <v>-200.268</v>
      </c>
      <c r="N537" s="361">
        <v>-205.83099999999999</v>
      </c>
      <c r="O537" s="361">
        <f>P537</f>
        <v>-205.84100000000001</v>
      </c>
      <c r="P537" s="35">
        <v>-205.84100000000001</v>
      </c>
      <c r="Q537" s="439"/>
      <c r="R537" s="439"/>
      <c r="S537" s="439"/>
      <c r="T537" s="361">
        <f>U537</f>
        <v>0</v>
      </c>
      <c r="U537" s="440"/>
      <c r="V537" s="439"/>
      <c r="W537" s="439"/>
      <c r="X537" s="439"/>
      <c r="Y537" s="361">
        <f>Z537</f>
        <v>0</v>
      </c>
      <c r="Z537" s="440"/>
      <c r="AA537" s="439"/>
      <c r="AB537" s="439"/>
      <c r="AC537" s="439"/>
      <c r="AD537" s="361">
        <f>AE537</f>
        <v>0</v>
      </c>
      <c r="AE537" s="440"/>
      <c r="AF537" s="439"/>
      <c r="AG537" s="439"/>
      <c r="AH537" s="439"/>
      <c r="AI537" s="361">
        <f t="shared" si="530"/>
        <v>0</v>
      </c>
      <c r="AJ537" s="440"/>
      <c r="AK537" s="439"/>
      <c r="AL537" s="439"/>
      <c r="AM537" s="439"/>
      <c r="AN537" s="361">
        <f t="shared" si="528"/>
        <v>0</v>
      </c>
      <c r="AO537" s="440"/>
      <c r="AP537" s="439"/>
      <c r="AQ537" s="439"/>
      <c r="AR537" s="439"/>
      <c r="AS537" s="361">
        <f t="shared" si="529"/>
        <v>0</v>
      </c>
      <c r="AT537" s="440"/>
      <c r="AU537" s="439"/>
      <c r="AV537" s="439"/>
      <c r="AW537" s="726">
        <v>-30</v>
      </c>
      <c r="AX537" s="439">
        <f>AY537</f>
        <v>0</v>
      </c>
      <c r="AY537" s="440"/>
      <c r="AZ537" s="439"/>
      <c r="BA537" s="439"/>
      <c r="BB537" s="439"/>
      <c r="BC537" s="439">
        <f>BD537</f>
        <v>0</v>
      </c>
      <c r="BD537" s="440"/>
      <c r="BE537" s="440"/>
      <c r="BF537" s="440"/>
      <c r="BG537" s="440"/>
      <c r="BH537" s="361"/>
    </row>
    <row r="538" spans="1:60" s="356" customFormat="1" hidden="1" outlineLevel="1" x14ac:dyDescent="0.25">
      <c r="A538" s="360" t="s">
        <v>206</v>
      </c>
      <c r="B538" s="450"/>
      <c r="C538" s="440"/>
      <c r="D538" s="440"/>
      <c r="E538" s="35">
        <v>40</v>
      </c>
      <c r="F538" s="35">
        <v>40</v>
      </c>
      <c r="G538" s="439"/>
      <c r="H538" s="439"/>
      <c r="I538" s="439"/>
      <c r="J538" s="361">
        <f>K538</f>
        <v>0</v>
      </c>
      <c r="K538" s="440"/>
      <c r="L538" s="439"/>
      <c r="M538" s="361">
        <v>189.131</v>
      </c>
      <c r="N538" s="361">
        <v>189.131</v>
      </c>
      <c r="O538" s="361">
        <f>P538</f>
        <v>189.131</v>
      </c>
      <c r="P538" s="35">
        <v>189.131</v>
      </c>
      <c r="Q538" s="439"/>
      <c r="R538" s="439"/>
      <c r="S538" s="439"/>
      <c r="T538" s="361">
        <f>U538</f>
        <v>0</v>
      </c>
      <c r="U538" s="440"/>
      <c r="V538" s="439"/>
      <c r="W538" s="361">
        <v>16.667000000000002</v>
      </c>
      <c r="X538" s="361">
        <v>16.667000000000002</v>
      </c>
      <c r="Y538" s="361">
        <f>Z538</f>
        <v>16.667000000000002</v>
      </c>
      <c r="Z538" s="35">
        <v>16.667000000000002</v>
      </c>
      <c r="AA538" s="439"/>
      <c r="AB538" s="439"/>
      <c r="AC538" s="439"/>
      <c r="AD538" s="361">
        <f>AE538</f>
        <v>0</v>
      </c>
      <c r="AE538" s="35">
        <v>0</v>
      </c>
      <c r="AF538" s="439"/>
      <c r="AG538" s="439"/>
      <c r="AH538" s="439"/>
      <c r="AI538" s="361">
        <f t="shared" si="530"/>
        <v>0</v>
      </c>
      <c r="AJ538" s="440"/>
      <c r="AK538" s="439"/>
      <c r="AL538" s="439"/>
      <c r="AM538" s="439"/>
      <c r="AN538" s="361">
        <f t="shared" si="528"/>
        <v>0</v>
      </c>
      <c r="AO538" s="440"/>
      <c r="AP538" s="439"/>
      <c r="AQ538" s="439"/>
      <c r="AR538" s="439"/>
      <c r="AS538" s="361">
        <f t="shared" si="529"/>
        <v>0</v>
      </c>
      <c r="AT538" s="440"/>
      <c r="AU538" s="439"/>
      <c r="AV538" s="439"/>
      <c r="AW538" s="726"/>
      <c r="AX538" s="439">
        <f>AY538</f>
        <v>0</v>
      </c>
      <c r="AY538" s="440"/>
      <c r="AZ538" s="439"/>
      <c r="BA538" s="439"/>
      <c r="BB538" s="439"/>
      <c r="BC538" s="439">
        <f>BD538</f>
        <v>0</v>
      </c>
      <c r="BD538" s="440"/>
      <c r="BE538" s="440"/>
      <c r="BF538" s="440"/>
      <c r="BG538" s="440"/>
      <c r="BH538" s="361"/>
    </row>
    <row r="539" spans="1:60" s="356" customFormat="1" hidden="1" outlineLevel="1" x14ac:dyDescent="0.25">
      <c r="A539" s="360" t="s">
        <v>207</v>
      </c>
      <c r="B539" s="450"/>
      <c r="C539" s="440"/>
      <c r="D539" s="35">
        <v>-65.209999999999994</v>
      </c>
      <c r="E539" s="440"/>
      <c r="F539" s="440"/>
      <c r="G539" s="439"/>
      <c r="H539" s="439"/>
      <c r="I539" s="439"/>
      <c r="J539" s="361">
        <f>K539</f>
        <v>0</v>
      </c>
      <c r="K539" s="440"/>
      <c r="L539" s="439"/>
      <c r="M539" s="439"/>
      <c r="N539" s="439"/>
      <c r="O539" s="361">
        <f>P539</f>
        <v>0</v>
      </c>
      <c r="P539" s="440"/>
      <c r="Q539" s="439"/>
      <c r="R539" s="361">
        <v>-12.26</v>
      </c>
      <c r="S539" s="361">
        <v>-12.26</v>
      </c>
      <c r="T539" s="361">
        <f>U539</f>
        <v>-12.26</v>
      </c>
      <c r="U539" s="35">
        <v>-12.26</v>
      </c>
      <c r="V539" s="439"/>
      <c r="W539" s="439"/>
      <c r="X539" s="439"/>
      <c r="Y539" s="361">
        <f>Z539</f>
        <v>213.523</v>
      </c>
      <c r="Z539" s="35">
        <v>213.523</v>
      </c>
      <c r="AA539" s="361">
        <v>-109.14700000000001</v>
      </c>
      <c r="AB539" s="361">
        <v>-109.14700000000001</v>
      </c>
      <c r="AC539" s="361">
        <v>-109.14700000000001</v>
      </c>
      <c r="AD539" s="361">
        <f>AE539</f>
        <v>-114.523</v>
      </c>
      <c r="AE539" s="35">
        <v>-114.523</v>
      </c>
      <c r="AF539" s="439"/>
      <c r="AG539" s="361">
        <v>-5.6040000000000001</v>
      </c>
      <c r="AH539" s="361">
        <v>-6.8040000000000003</v>
      </c>
      <c r="AI539" s="361">
        <f t="shared" si="530"/>
        <v>-17.911999999999999</v>
      </c>
      <c r="AJ539" s="35">
        <v>-17.911999999999999</v>
      </c>
      <c r="AK539" s="361">
        <v>-0.65</v>
      </c>
      <c r="AL539" s="361">
        <v>31.012</v>
      </c>
      <c r="AM539" s="361">
        <v>-45</v>
      </c>
      <c r="AN539" s="361">
        <f t="shared" si="528"/>
        <v>-45</v>
      </c>
      <c r="AO539" s="35">
        <v>-45</v>
      </c>
      <c r="AP539" s="439"/>
      <c r="AQ539" s="439"/>
      <c r="AR539" s="361">
        <v>-13</v>
      </c>
      <c r="AS539" s="361">
        <f t="shared" si="529"/>
        <v>-13</v>
      </c>
      <c r="AT539" s="35">
        <v>-13</v>
      </c>
      <c r="AU539" s="439"/>
      <c r="AV539" s="439"/>
      <c r="AW539" s="726"/>
      <c r="AX539" s="439">
        <f>AY539</f>
        <v>0</v>
      </c>
      <c r="AY539" s="440"/>
      <c r="AZ539" s="439"/>
      <c r="BA539" s="439"/>
      <c r="BB539" s="439"/>
      <c r="BC539" s="439">
        <f>BD539</f>
        <v>0</v>
      </c>
      <c r="BD539" s="440"/>
      <c r="BE539" s="440"/>
      <c r="BF539" s="440"/>
      <c r="BG539" s="440"/>
      <c r="BH539" s="361"/>
    </row>
    <row r="540" spans="1:60" s="356" customFormat="1" hidden="1" outlineLevel="1" x14ac:dyDescent="0.25">
      <c r="A540" s="533" t="s">
        <v>208</v>
      </c>
      <c r="B540" s="527"/>
      <c r="C540" s="479"/>
      <c r="D540" s="479"/>
      <c r="E540" s="479"/>
      <c r="F540" s="479"/>
      <c r="G540" s="459"/>
      <c r="H540" s="459"/>
      <c r="I540" s="459"/>
      <c r="J540" s="459"/>
      <c r="K540" s="479"/>
      <c r="L540" s="459"/>
      <c r="M540" s="459"/>
      <c r="N540" s="459"/>
      <c r="O540" s="459"/>
      <c r="P540" s="479"/>
      <c r="Q540" s="459"/>
      <c r="R540" s="459"/>
      <c r="S540" s="459"/>
      <c r="T540" s="459"/>
      <c r="U540" s="479"/>
      <c r="V540" s="459"/>
      <c r="W540" s="459"/>
      <c r="X540" s="459"/>
      <c r="Y540" s="459"/>
      <c r="Z540" s="479"/>
      <c r="AA540" s="459"/>
      <c r="AB540" s="459"/>
      <c r="AC540" s="459"/>
      <c r="AD540" s="459"/>
      <c r="AE540" s="479"/>
      <c r="AF540" s="459"/>
      <c r="AG540" s="459"/>
      <c r="AH540" s="459"/>
      <c r="AI540" s="262">
        <f t="shared" si="530"/>
        <v>0</v>
      </c>
      <c r="AJ540" s="479"/>
      <c r="AK540" s="459"/>
      <c r="AL540" s="459"/>
      <c r="AM540" s="459"/>
      <c r="AN540" s="262">
        <f t="shared" si="528"/>
        <v>0</v>
      </c>
      <c r="AO540" s="479"/>
      <c r="AP540" s="459"/>
      <c r="AQ540" s="459"/>
      <c r="AR540" s="459"/>
      <c r="AS540" s="262">
        <f t="shared" si="529"/>
        <v>0</v>
      </c>
      <c r="AT540" s="479"/>
      <c r="AU540" s="459"/>
      <c r="AV540" s="459"/>
      <c r="AW540" s="723"/>
      <c r="AX540" s="459"/>
      <c r="AY540" s="479"/>
      <c r="AZ540" s="459"/>
      <c r="BA540" s="459"/>
      <c r="BB540" s="459"/>
      <c r="BC540" s="459"/>
      <c r="BD540" s="479"/>
      <c r="BE540" s="479"/>
      <c r="BF540" s="479"/>
      <c r="BG540" s="479"/>
      <c r="BH540" s="361"/>
    </row>
    <row r="541" spans="1:60" s="116" customFormat="1" hidden="1" outlineLevel="1" x14ac:dyDescent="0.25">
      <c r="A541" s="86" t="s">
        <v>209</v>
      </c>
      <c r="B541" s="529"/>
      <c r="C541" s="29">
        <f t="shared" ref="C541:AH541" si="531">SUM(C529:C540)</f>
        <v>-14.244</v>
      </c>
      <c r="D541" s="29">
        <f t="shared" si="531"/>
        <v>-180.297</v>
      </c>
      <c r="E541" s="29">
        <f t="shared" si="531"/>
        <v>-162.25799999999998</v>
      </c>
      <c r="F541" s="29">
        <f t="shared" si="531"/>
        <v>-206.93</v>
      </c>
      <c r="G541" s="30">
        <f t="shared" si="531"/>
        <v>-55.235999999999997</v>
      </c>
      <c r="H541" s="30">
        <f t="shared" si="531"/>
        <v>-82.410000000000011</v>
      </c>
      <c r="I541" s="30">
        <f t="shared" si="531"/>
        <v>-159.91199999999998</v>
      </c>
      <c r="J541" s="30">
        <f t="shared" si="531"/>
        <v>-249.41699999999997</v>
      </c>
      <c r="K541" s="29">
        <f t="shared" si="531"/>
        <v>-249.41699999999997</v>
      </c>
      <c r="L541" s="30">
        <f t="shared" si="531"/>
        <v>-329.18</v>
      </c>
      <c r="M541" s="30">
        <f t="shared" si="531"/>
        <v>-326.57000000000005</v>
      </c>
      <c r="N541" s="30">
        <f t="shared" si="531"/>
        <v>-618.21300000000008</v>
      </c>
      <c r="O541" s="30">
        <f t="shared" si="531"/>
        <v>-990.44400000000007</v>
      </c>
      <c r="P541" s="29">
        <f t="shared" si="531"/>
        <v>-990.44400000000007</v>
      </c>
      <c r="Q541" s="30">
        <f t="shared" si="531"/>
        <v>-432.34399999999999</v>
      </c>
      <c r="R541" s="30">
        <f t="shared" si="531"/>
        <v>-855.18100000000004</v>
      </c>
      <c r="S541" s="30">
        <f t="shared" si="531"/>
        <v>-1259.271</v>
      </c>
      <c r="T541" s="30">
        <f t="shared" si="531"/>
        <v>-1673.5509999999999</v>
      </c>
      <c r="U541" s="29">
        <f t="shared" si="531"/>
        <v>-1673.5509999999999</v>
      </c>
      <c r="V541" s="30">
        <f t="shared" si="531"/>
        <v>-233.81900000000002</v>
      </c>
      <c r="W541" s="30">
        <f t="shared" si="531"/>
        <v>-553.673</v>
      </c>
      <c r="X541" s="30">
        <f t="shared" si="531"/>
        <v>-821.67899999999997</v>
      </c>
      <c r="Y541" s="30">
        <f t="shared" si="531"/>
        <v>-1416.43</v>
      </c>
      <c r="Z541" s="29">
        <f t="shared" si="531"/>
        <v>-1416.43</v>
      </c>
      <c r="AA541" s="30">
        <f t="shared" si="531"/>
        <v>-926.9430000000001</v>
      </c>
      <c r="AB541" s="30">
        <f t="shared" si="531"/>
        <v>-2142.1590000000001</v>
      </c>
      <c r="AC541" s="30">
        <f t="shared" si="531"/>
        <v>-3457.0910000000003</v>
      </c>
      <c r="AD541" s="30">
        <f t="shared" si="531"/>
        <v>-4418.9669999999996</v>
      </c>
      <c r="AE541" s="29">
        <f t="shared" si="531"/>
        <v>-4418.9669999999996</v>
      </c>
      <c r="AF541" s="30">
        <f t="shared" si="531"/>
        <v>-728.63700000000006</v>
      </c>
      <c r="AG541" s="30">
        <f t="shared" si="531"/>
        <v>-1411.454</v>
      </c>
      <c r="AH541" s="30">
        <f t="shared" si="531"/>
        <v>-1972.4190000000001</v>
      </c>
      <c r="AI541" s="30">
        <f t="shared" ref="AI541:AY541" si="532">SUM(AI529:AI540)</f>
        <v>-2337.4279999999999</v>
      </c>
      <c r="AJ541" s="29">
        <f t="shared" si="532"/>
        <v>-2337.4279999999999</v>
      </c>
      <c r="AK541" s="30">
        <f t="shared" si="532"/>
        <v>-305.84300000000002</v>
      </c>
      <c r="AL541" s="30">
        <f t="shared" si="532"/>
        <v>-547.38799999999992</v>
      </c>
      <c r="AM541" s="30">
        <f t="shared" si="532"/>
        <v>-1033</v>
      </c>
      <c r="AN541" s="30">
        <f t="shared" si="532"/>
        <v>-1436</v>
      </c>
      <c r="AO541" s="29">
        <f t="shared" si="532"/>
        <v>-1436</v>
      </c>
      <c r="AP541" s="30">
        <f t="shared" si="532"/>
        <v>-480</v>
      </c>
      <c r="AQ541" s="30">
        <f t="shared" si="532"/>
        <v>-1046</v>
      </c>
      <c r="AR541" s="30">
        <f>SUM(AR529:AR540)</f>
        <v>-2085</v>
      </c>
      <c r="AS541" s="30">
        <f>SUM(AS529:AS540)</f>
        <v>-3132</v>
      </c>
      <c r="AT541" s="29">
        <f>SUM(AT529:AT540)</f>
        <v>-3132</v>
      </c>
      <c r="AU541" s="30">
        <f t="shared" ref="AU541:AW541" si="533">SUM(AU529:AU540)</f>
        <v>-2582</v>
      </c>
      <c r="AV541" s="30">
        <f t="shared" si="533"/>
        <v>-4097</v>
      </c>
      <c r="AW541" s="724">
        <f t="shared" si="533"/>
        <v>-5952</v>
      </c>
      <c r="AX541" s="44">
        <f t="shared" si="532"/>
        <v>0</v>
      </c>
      <c r="AY541" s="45">
        <f t="shared" si="532"/>
        <v>0</v>
      </c>
      <c r="AZ541" s="44">
        <f t="shared" ref="AZ541:BG541" si="534">SUM(AZ529:AZ540)</f>
        <v>0</v>
      </c>
      <c r="BA541" s="44">
        <f t="shared" si="534"/>
        <v>0</v>
      </c>
      <c r="BB541" s="44">
        <f t="shared" si="534"/>
        <v>0</v>
      </c>
      <c r="BC541" s="44">
        <f t="shared" si="534"/>
        <v>0</v>
      </c>
      <c r="BD541" s="45">
        <f t="shared" si="534"/>
        <v>0</v>
      </c>
      <c r="BE541" s="45">
        <f t="shared" si="534"/>
        <v>0</v>
      </c>
      <c r="BF541" s="45">
        <f t="shared" si="534"/>
        <v>0</v>
      </c>
      <c r="BG541" s="45">
        <f t="shared" si="534"/>
        <v>0</v>
      </c>
      <c r="BH541" s="368"/>
    </row>
    <row r="542" spans="1:60" s="116" customFormat="1" hidden="1" outlineLevel="1" x14ac:dyDescent="0.25">
      <c r="A542" s="530"/>
      <c r="B542" s="531"/>
      <c r="C542" s="438"/>
      <c r="D542" s="438"/>
      <c r="E542" s="438"/>
      <c r="F542" s="438"/>
      <c r="G542" s="437"/>
      <c r="H542" s="437"/>
      <c r="I542" s="437"/>
      <c r="J542" s="437"/>
      <c r="K542" s="438"/>
      <c r="L542" s="437"/>
      <c r="M542" s="437"/>
      <c r="N542" s="437"/>
      <c r="O542" s="437"/>
      <c r="P542" s="438"/>
      <c r="Q542" s="437"/>
      <c r="R542" s="437"/>
      <c r="S542" s="437"/>
      <c r="T542" s="437"/>
      <c r="U542" s="438"/>
      <c r="V542" s="437"/>
      <c r="W542" s="437"/>
      <c r="X542" s="437"/>
      <c r="Y542" s="437"/>
      <c r="Z542" s="438"/>
      <c r="AA542" s="437"/>
      <c r="AB542" s="437"/>
      <c r="AC542" s="437"/>
      <c r="AD542" s="437"/>
      <c r="AE542" s="438"/>
      <c r="AF542" s="437"/>
      <c r="AG542" s="437"/>
      <c r="AH542" s="437"/>
      <c r="AI542" s="437"/>
      <c r="AJ542" s="438"/>
      <c r="AK542" s="437"/>
      <c r="AL542" s="437"/>
      <c r="AM542" s="437"/>
      <c r="AN542" s="437"/>
      <c r="AO542" s="438"/>
      <c r="AP542" s="437"/>
      <c r="AQ542" s="437"/>
      <c r="AR542" s="437"/>
      <c r="AS542" s="437"/>
      <c r="AT542" s="438"/>
      <c r="AU542" s="437"/>
      <c r="AV542" s="437"/>
      <c r="AW542" s="725"/>
      <c r="AX542" s="437"/>
      <c r="AY542" s="438"/>
      <c r="AZ542" s="437"/>
      <c r="BA542" s="437"/>
      <c r="BB542" s="437"/>
      <c r="BC542" s="437"/>
      <c r="BD542" s="438"/>
      <c r="BE542" s="438"/>
      <c r="BF542" s="438"/>
      <c r="BG542" s="438"/>
      <c r="BH542" s="368"/>
    </row>
    <row r="543" spans="1:60" s="116" customFormat="1" hidden="1" outlineLevel="1" x14ac:dyDescent="0.25">
      <c r="A543" s="436" t="s">
        <v>210</v>
      </c>
      <c r="B543" s="531"/>
      <c r="C543" s="438"/>
      <c r="D543" s="438"/>
      <c r="E543" s="438"/>
      <c r="F543" s="438"/>
      <c r="G543" s="437"/>
      <c r="H543" s="437"/>
      <c r="I543" s="437"/>
      <c r="J543" s="437"/>
      <c r="K543" s="438"/>
      <c r="L543" s="437"/>
      <c r="M543" s="437"/>
      <c r="N543" s="437"/>
      <c r="O543" s="437"/>
      <c r="P543" s="438"/>
      <c r="Q543" s="437"/>
      <c r="R543" s="437"/>
      <c r="S543" s="437"/>
      <c r="T543" s="437"/>
      <c r="U543" s="438"/>
      <c r="V543" s="437"/>
      <c r="W543" s="437"/>
      <c r="X543" s="437"/>
      <c r="Y543" s="437"/>
      <c r="Z543" s="438"/>
      <c r="AA543" s="437"/>
      <c r="AB543" s="437"/>
      <c r="AC543" s="437"/>
      <c r="AD543" s="437"/>
      <c r="AE543" s="438"/>
      <c r="AF543" s="437"/>
      <c r="AG543" s="437"/>
      <c r="AH543" s="437"/>
      <c r="AI543" s="437"/>
      <c r="AJ543" s="438"/>
      <c r="AK543" s="437"/>
      <c r="AL543" s="437"/>
      <c r="AM543" s="437"/>
      <c r="AN543" s="437"/>
      <c r="AO543" s="438"/>
      <c r="AP543" s="437"/>
      <c r="AQ543" s="437"/>
      <c r="AR543" s="437"/>
      <c r="AS543" s="437"/>
      <c r="AT543" s="438"/>
      <c r="AU543" s="437"/>
      <c r="AV543" s="437"/>
      <c r="AW543" s="725"/>
      <c r="AX543" s="437"/>
      <c r="AY543" s="438"/>
      <c r="AZ543" s="437"/>
      <c r="BA543" s="437"/>
      <c r="BB543" s="437"/>
      <c r="BC543" s="437"/>
      <c r="BD543" s="438"/>
      <c r="BE543" s="438"/>
      <c r="BF543" s="438"/>
      <c r="BG543" s="438"/>
      <c r="BH543" s="368"/>
    </row>
    <row r="544" spans="1:60" s="356" customFormat="1" hidden="1" outlineLevel="1" x14ac:dyDescent="0.25">
      <c r="A544" s="360" t="s">
        <v>211</v>
      </c>
      <c r="B544" s="450"/>
      <c r="C544" s="440"/>
      <c r="D544" s="440"/>
      <c r="E544" s="440"/>
      <c r="F544" s="440"/>
      <c r="G544" s="439"/>
      <c r="H544" s="439"/>
      <c r="I544" s="439"/>
      <c r="J544" s="439"/>
      <c r="K544" s="440"/>
      <c r="L544" s="439"/>
      <c r="M544" s="439"/>
      <c r="N544" s="439"/>
      <c r="O544" s="439"/>
      <c r="P544" s="440"/>
      <c r="Q544" s="439"/>
      <c r="R544" s="439"/>
      <c r="S544" s="439"/>
      <c r="T544" s="439"/>
      <c r="U544" s="440"/>
      <c r="V544" s="439"/>
      <c r="W544" s="439"/>
      <c r="X544" s="439"/>
      <c r="Y544" s="439"/>
      <c r="Z544" s="440"/>
      <c r="AA544" s="439"/>
      <c r="AB544" s="439"/>
      <c r="AC544" s="439"/>
      <c r="AD544" s="439"/>
      <c r="AE544" s="440"/>
      <c r="AF544" s="439"/>
      <c r="AG544" s="439"/>
      <c r="AH544" s="439"/>
      <c r="AI544" s="361">
        <f t="shared" ref="AI544:AI561" si="535">AJ544</f>
        <v>0</v>
      </c>
      <c r="AJ544" s="440"/>
      <c r="AK544" s="439"/>
      <c r="AL544" s="439"/>
      <c r="AM544" s="439"/>
      <c r="AN544" s="361">
        <f t="shared" ref="AN544:AN561" si="536">AO544</f>
        <v>0</v>
      </c>
      <c r="AO544" s="440"/>
      <c r="AP544" s="439"/>
      <c r="AQ544" s="439"/>
      <c r="AR544" s="439"/>
      <c r="AS544" s="361">
        <f>AT544</f>
        <v>0</v>
      </c>
      <c r="AT544" s="440"/>
      <c r="AU544" s="439"/>
      <c r="AV544" s="439"/>
      <c r="AW544" s="726"/>
      <c r="AX544" s="439"/>
      <c r="AY544" s="440"/>
      <c r="AZ544" s="439"/>
      <c r="BA544" s="439"/>
      <c r="BB544" s="439"/>
      <c r="BC544" s="439"/>
      <c r="BD544" s="440"/>
      <c r="BE544" s="440"/>
      <c r="BF544" s="440"/>
      <c r="BG544" s="440"/>
      <c r="BH544" s="361"/>
    </row>
    <row r="545" spans="1:60" s="356" customFormat="1" hidden="1" outlineLevel="1" x14ac:dyDescent="0.25">
      <c r="A545" s="360" t="s">
        <v>212</v>
      </c>
      <c r="B545" s="450"/>
      <c r="C545" s="440"/>
      <c r="D545" s="440"/>
      <c r="E545" s="440"/>
      <c r="F545" s="440"/>
      <c r="G545" s="439"/>
      <c r="H545" s="439"/>
      <c r="I545" s="439"/>
      <c r="J545" s="361">
        <f>K545</f>
        <v>0</v>
      </c>
      <c r="K545" s="440"/>
      <c r="L545" s="439"/>
      <c r="M545" s="439"/>
      <c r="N545" s="439"/>
      <c r="O545" s="361">
        <f>P545</f>
        <v>3.2709999999999999</v>
      </c>
      <c r="P545" s="35">
        <v>3.2709999999999999</v>
      </c>
      <c r="Q545" s="361">
        <v>77.960999999999999</v>
      </c>
      <c r="R545" s="361">
        <v>196.535</v>
      </c>
      <c r="S545" s="361">
        <v>359.95100000000002</v>
      </c>
      <c r="T545" s="361">
        <f>U545</f>
        <v>568.745</v>
      </c>
      <c r="U545" s="35">
        <v>568.745</v>
      </c>
      <c r="V545" s="361">
        <v>241.76300000000001</v>
      </c>
      <c r="W545" s="361">
        <v>384.52499999999998</v>
      </c>
      <c r="X545" s="361">
        <v>557.66899999999998</v>
      </c>
      <c r="Y545" s="361">
        <f>Z545</f>
        <v>769.70899999999995</v>
      </c>
      <c r="Z545" s="35">
        <v>769.70899999999995</v>
      </c>
      <c r="AA545" s="361">
        <v>186.35499999999999</v>
      </c>
      <c r="AB545" s="361">
        <v>335.67500000000001</v>
      </c>
      <c r="AC545" s="361">
        <v>416.42700000000002</v>
      </c>
      <c r="AD545" s="361">
        <f>AE545</f>
        <v>511.32100000000003</v>
      </c>
      <c r="AE545" s="35">
        <v>511.32100000000003</v>
      </c>
      <c r="AF545" s="361">
        <v>-87.091999999999999</v>
      </c>
      <c r="AG545" s="361">
        <v>-200.518</v>
      </c>
      <c r="AH545" s="361">
        <v>-343.08600000000001</v>
      </c>
      <c r="AI545" s="361">
        <f t="shared" si="535"/>
        <v>-559.16700000000003</v>
      </c>
      <c r="AJ545" s="35">
        <v>-559.16700000000003</v>
      </c>
      <c r="AK545" s="361">
        <v>-133.89099999999999</v>
      </c>
      <c r="AL545" s="361">
        <v>-219.32300000000001</v>
      </c>
      <c r="AM545" s="361">
        <v>-302</v>
      </c>
      <c r="AN545" s="361">
        <f t="shared" si="536"/>
        <v>-389</v>
      </c>
      <c r="AO545" s="35">
        <v>-389</v>
      </c>
      <c r="AP545" s="361">
        <v>-97</v>
      </c>
      <c r="AQ545" s="361">
        <v>-168</v>
      </c>
      <c r="AR545" s="361">
        <v>-224</v>
      </c>
      <c r="AS545" s="361">
        <f>AT545</f>
        <v>-240</v>
      </c>
      <c r="AT545" s="35">
        <v>-240</v>
      </c>
      <c r="AU545" s="361">
        <v>-6</v>
      </c>
      <c r="AV545" s="439">
        <v>-8</v>
      </c>
      <c r="AW545" s="726">
        <v>-9</v>
      </c>
      <c r="AX545" s="439">
        <f>AY545</f>
        <v>0</v>
      </c>
      <c r="AY545" s="440"/>
      <c r="AZ545" s="439"/>
      <c r="BA545" s="439"/>
      <c r="BB545" s="439"/>
      <c r="BC545" s="439">
        <f>BD545</f>
        <v>0</v>
      </c>
      <c r="BD545" s="440"/>
      <c r="BE545" s="440"/>
      <c r="BF545" s="440"/>
      <c r="BG545" s="440"/>
      <c r="BH545" s="361"/>
    </row>
    <row r="546" spans="1:60" s="356" customFormat="1" hidden="1" outlineLevel="1" x14ac:dyDescent="0.25">
      <c r="A546" s="360" t="s">
        <v>543</v>
      </c>
      <c r="B546" s="450"/>
      <c r="C546" s="440"/>
      <c r="D546" s="440"/>
      <c r="E546" s="440"/>
      <c r="F546" s="440"/>
      <c r="G546" s="439"/>
      <c r="H546" s="439"/>
      <c r="I546" s="439"/>
      <c r="J546" s="439"/>
      <c r="K546" s="440"/>
      <c r="L546" s="439"/>
      <c r="M546" s="439"/>
      <c r="N546" s="439"/>
      <c r="O546" s="439"/>
      <c r="P546" s="440"/>
      <c r="Q546" s="439"/>
      <c r="R546" s="439"/>
      <c r="S546" s="439"/>
      <c r="T546" s="439"/>
      <c r="U546" s="440"/>
      <c r="V546" s="439"/>
      <c r="W546" s="439"/>
      <c r="X546" s="439"/>
      <c r="Y546" s="439"/>
      <c r="Z546" s="440"/>
      <c r="AA546" s="439"/>
      <c r="AB546" s="439"/>
      <c r="AC546" s="439"/>
      <c r="AD546" s="439"/>
      <c r="AE546" s="440"/>
      <c r="AF546" s="439"/>
      <c r="AG546" s="439"/>
      <c r="AH546" s="439"/>
      <c r="AI546" s="439"/>
      <c r="AJ546" s="440"/>
      <c r="AK546" s="439"/>
      <c r="AL546" s="439"/>
      <c r="AM546" s="439"/>
      <c r="AN546" s="439"/>
      <c r="AO546" s="440"/>
      <c r="AP546" s="439"/>
      <c r="AQ546" s="439"/>
      <c r="AR546" s="439"/>
      <c r="AS546" s="361">
        <f>+AT546</f>
        <v>0</v>
      </c>
      <c r="AT546" s="440"/>
      <c r="AU546" s="439"/>
      <c r="AV546" s="439"/>
      <c r="AW546" s="726"/>
      <c r="AX546" s="439"/>
      <c r="AY546" s="440"/>
      <c r="AZ546" s="439"/>
      <c r="BA546" s="439"/>
      <c r="BB546" s="439"/>
      <c r="BC546" s="439"/>
      <c r="BD546" s="440"/>
      <c r="BE546" s="440"/>
      <c r="BF546" s="440"/>
      <c r="BG546" s="440"/>
      <c r="BH546" s="361"/>
    </row>
    <row r="547" spans="1:60" s="356" customFormat="1" hidden="1" outlineLevel="1" x14ac:dyDescent="0.25">
      <c r="A547" s="360" t="s">
        <v>213</v>
      </c>
      <c r="B547" s="450"/>
      <c r="C547" s="440"/>
      <c r="D547" s="440"/>
      <c r="E547" s="440"/>
      <c r="F547" s="440"/>
      <c r="G547" s="439"/>
      <c r="H547" s="439"/>
      <c r="I547" s="439"/>
      <c r="J547" s="439"/>
      <c r="K547" s="440"/>
      <c r="L547" s="439"/>
      <c r="M547" s="439"/>
      <c r="N547" s="439"/>
      <c r="O547" s="439"/>
      <c r="P547" s="440"/>
      <c r="Q547" s="439"/>
      <c r="R547" s="439"/>
      <c r="S547" s="439"/>
      <c r="T547" s="439"/>
      <c r="U547" s="440"/>
      <c r="V547" s="439"/>
      <c r="W547" s="439"/>
      <c r="X547" s="439"/>
      <c r="Y547" s="439"/>
      <c r="Z547" s="440"/>
      <c r="AA547" s="439"/>
      <c r="AB547" s="439"/>
      <c r="AC547" s="439"/>
      <c r="AD547" s="439"/>
      <c r="AE547" s="440"/>
      <c r="AF547" s="439"/>
      <c r="AG547" s="439"/>
      <c r="AH547" s="439"/>
      <c r="AI547" s="361">
        <f t="shared" si="535"/>
        <v>0</v>
      </c>
      <c r="AJ547" s="440"/>
      <c r="AK547" s="439"/>
      <c r="AL547" s="439"/>
      <c r="AM547" s="439"/>
      <c r="AN547" s="361">
        <f t="shared" si="536"/>
        <v>0</v>
      </c>
      <c r="AO547" s="440"/>
      <c r="AP547" s="439"/>
      <c r="AQ547" s="439"/>
      <c r="AR547" s="439"/>
      <c r="AS547" s="361">
        <f t="shared" ref="AS547:AS561" si="537">AT547</f>
        <v>0</v>
      </c>
      <c r="AT547" s="440"/>
      <c r="AU547" s="439"/>
      <c r="AV547" s="439"/>
      <c r="AW547" s="726"/>
      <c r="AX547" s="439"/>
      <c r="AY547" s="440"/>
      <c r="AZ547" s="439"/>
      <c r="BA547" s="439"/>
      <c r="BB547" s="439"/>
      <c r="BC547" s="439"/>
      <c r="BD547" s="440"/>
      <c r="BE547" s="440"/>
      <c r="BF547" s="440"/>
      <c r="BG547" s="440"/>
      <c r="BH547" s="361"/>
    </row>
    <row r="548" spans="1:60" s="356" customFormat="1" hidden="1" outlineLevel="1" x14ac:dyDescent="0.25">
      <c r="A548" s="360" t="s">
        <v>214</v>
      </c>
      <c r="B548" s="450"/>
      <c r="C548" s="440"/>
      <c r="D548" s="440"/>
      <c r="E548" s="440"/>
      <c r="F548" s="440"/>
      <c r="G548" s="439"/>
      <c r="H548" s="439"/>
      <c r="I548" s="439"/>
      <c r="J548" s="439"/>
      <c r="K548" s="440"/>
      <c r="L548" s="439"/>
      <c r="M548" s="439"/>
      <c r="N548" s="439"/>
      <c r="O548" s="439"/>
      <c r="P548" s="440"/>
      <c r="Q548" s="439"/>
      <c r="R548" s="439"/>
      <c r="S548" s="439"/>
      <c r="T548" s="439"/>
      <c r="U548" s="440"/>
      <c r="V548" s="439"/>
      <c r="W548" s="439"/>
      <c r="X548" s="439"/>
      <c r="Y548" s="361">
        <f t="shared" ref="Y548:Y553" si="538">Z548</f>
        <v>180.27699999999999</v>
      </c>
      <c r="Z548" s="35">
        <f>201.527-21.25</f>
        <v>180.27699999999999</v>
      </c>
      <c r="AA548" s="361">
        <v>142.00299999999999</v>
      </c>
      <c r="AB548" s="439"/>
      <c r="AC548" s="439"/>
      <c r="AD548" s="361">
        <f t="shared" ref="AD548:AD561" si="539">AE548</f>
        <v>789.70399999999995</v>
      </c>
      <c r="AE548" s="35">
        <v>789.70399999999995</v>
      </c>
      <c r="AF548" s="361">
        <v>73.703999999999994</v>
      </c>
      <c r="AG548" s="439"/>
      <c r="AH548" s="439"/>
      <c r="AI548" s="361">
        <f t="shared" si="535"/>
        <v>0</v>
      </c>
      <c r="AJ548" s="440"/>
      <c r="AK548" s="361">
        <v>46.820999999999998</v>
      </c>
      <c r="AL548" s="439"/>
      <c r="AM548" s="439"/>
      <c r="AN548" s="361">
        <f t="shared" si="536"/>
        <v>0</v>
      </c>
      <c r="AO548" s="440"/>
      <c r="AP548" s="439"/>
      <c r="AQ548" s="439"/>
      <c r="AR548" s="439"/>
      <c r="AS548" s="361">
        <f t="shared" si="537"/>
        <v>0</v>
      </c>
      <c r="AT548" s="440"/>
      <c r="AU548" s="439"/>
      <c r="AV548" s="439"/>
      <c r="AW548" s="726"/>
      <c r="AX548" s="439"/>
      <c r="AY548" s="440"/>
      <c r="AZ548" s="439"/>
      <c r="BA548" s="439"/>
      <c r="BB548" s="439"/>
      <c r="BC548" s="439"/>
      <c r="BD548" s="440"/>
      <c r="BE548" s="440"/>
      <c r="BF548" s="440"/>
      <c r="BG548" s="440"/>
      <c r="BH548" s="361"/>
    </row>
    <row r="549" spans="1:60" s="356" customFormat="1" hidden="1" outlineLevel="1" x14ac:dyDescent="0.25">
      <c r="A549" s="360" t="s">
        <v>215</v>
      </c>
      <c r="B549" s="450"/>
      <c r="C549" s="440"/>
      <c r="D549" s="35">
        <v>71.828000000000003</v>
      </c>
      <c r="E549" s="35">
        <v>204.423</v>
      </c>
      <c r="F549" s="35">
        <v>188.79599999999999</v>
      </c>
      <c r="G549" s="439"/>
      <c r="H549" s="439"/>
      <c r="I549" s="439"/>
      <c r="J549" s="361">
        <f>K549</f>
        <v>0</v>
      </c>
      <c r="K549" s="440"/>
      <c r="L549" s="439"/>
      <c r="M549" s="439"/>
      <c r="N549" s="439"/>
      <c r="O549" s="361">
        <f>P549</f>
        <v>0</v>
      </c>
      <c r="P549" s="440"/>
      <c r="Q549" s="439"/>
      <c r="R549" s="439"/>
      <c r="S549" s="439"/>
      <c r="T549" s="361">
        <f>U549</f>
        <v>0</v>
      </c>
      <c r="U549" s="440"/>
      <c r="V549" s="439"/>
      <c r="W549" s="439"/>
      <c r="X549" s="439"/>
      <c r="Y549" s="361">
        <f t="shared" si="538"/>
        <v>0</v>
      </c>
      <c r="Z549" s="440"/>
      <c r="AA549" s="439"/>
      <c r="AB549" s="439"/>
      <c r="AC549" s="439"/>
      <c r="AD549" s="361">
        <f t="shared" si="539"/>
        <v>0</v>
      </c>
      <c r="AE549" s="440"/>
      <c r="AF549" s="439"/>
      <c r="AG549" s="439"/>
      <c r="AH549" s="439"/>
      <c r="AI549" s="361">
        <f t="shared" si="535"/>
        <v>0</v>
      </c>
      <c r="AJ549" s="440"/>
      <c r="AK549" s="439"/>
      <c r="AL549" s="439"/>
      <c r="AM549" s="439"/>
      <c r="AN549" s="361">
        <f t="shared" si="536"/>
        <v>0</v>
      </c>
      <c r="AO549" s="440"/>
      <c r="AP549" s="439"/>
      <c r="AQ549" s="439"/>
      <c r="AR549" s="439"/>
      <c r="AS549" s="361">
        <f t="shared" si="537"/>
        <v>0</v>
      </c>
      <c r="AT549" s="440"/>
      <c r="AU549" s="439"/>
      <c r="AV549" s="439"/>
      <c r="AW549" s="726"/>
      <c r="AX549" s="439">
        <f>AY549</f>
        <v>0</v>
      </c>
      <c r="AY549" s="440"/>
      <c r="AZ549" s="439"/>
      <c r="BA549" s="439"/>
      <c r="BB549" s="439"/>
      <c r="BC549" s="439">
        <f>BD549</f>
        <v>0</v>
      </c>
      <c r="BD549" s="440"/>
      <c r="BE549" s="440"/>
      <c r="BF549" s="440"/>
      <c r="BG549" s="440"/>
      <c r="BH549" s="361"/>
    </row>
    <row r="550" spans="1:60" s="356" customFormat="1" hidden="1" outlineLevel="1" x14ac:dyDescent="0.25">
      <c r="A550" s="360" t="s">
        <v>216</v>
      </c>
      <c r="B550" s="450"/>
      <c r="C550" s="35">
        <v>25.468</v>
      </c>
      <c r="D550" s="440"/>
      <c r="E550" s="440"/>
      <c r="F550" s="440"/>
      <c r="G550" s="439"/>
      <c r="H550" s="361">
        <v>660</v>
      </c>
      <c r="I550" s="361">
        <v>660</v>
      </c>
      <c r="J550" s="361">
        <f>K550</f>
        <v>660</v>
      </c>
      <c r="K550" s="35">
        <v>660</v>
      </c>
      <c r="L550" s="361">
        <v>2000</v>
      </c>
      <c r="M550" s="361">
        <v>2300</v>
      </c>
      <c r="N550" s="361">
        <v>2300</v>
      </c>
      <c r="O550" s="361">
        <f>P550</f>
        <v>2300</v>
      </c>
      <c r="P550" s="35">
        <v>2300</v>
      </c>
      <c r="Q550" s="361">
        <v>77.661000000000001</v>
      </c>
      <c r="R550" s="361">
        <v>168.24600000000001</v>
      </c>
      <c r="S550" s="361">
        <v>183.97200000000001</v>
      </c>
      <c r="T550" s="361">
        <f>U550</f>
        <v>318.97199999999998</v>
      </c>
      <c r="U550" s="35">
        <v>318.97199999999998</v>
      </c>
      <c r="V550" s="361">
        <v>430</v>
      </c>
      <c r="W550" s="361">
        <v>529.31700000000001</v>
      </c>
      <c r="X550" s="361">
        <v>6.8040000000000873</v>
      </c>
      <c r="Y550" s="361">
        <f t="shared" si="538"/>
        <v>2852.9639999999999</v>
      </c>
      <c r="Z550" s="35">
        <v>2852.9639999999999</v>
      </c>
      <c r="AA550" s="361">
        <v>1838.1659999999999</v>
      </c>
      <c r="AB550" s="361">
        <v>2408.5859999999998</v>
      </c>
      <c r="AC550" s="361">
        <v>5401.1580000000004</v>
      </c>
      <c r="AD550" s="361">
        <f t="shared" si="539"/>
        <v>7138.0550000000003</v>
      </c>
      <c r="AE550" s="35">
        <v>7138.0550000000003</v>
      </c>
      <c r="AF550" s="439"/>
      <c r="AG550" s="361">
        <v>3043.2269999999999</v>
      </c>
      <c r="AH550" s="361">
        <v>3946.5749999999998</v>
      </c>
      <c r="AI550" s="361">
        <f t="shared" si="535"/>
        <v>6176.1729999999998</v>
      </c>
      <c r="AJ550" s="35">
        <v>6176.1729999999998</v>
      </c>
      <c r="AK550" s="361">
        <v>1494.066</v>
      </c>
      <c r="AL550" s="361">
        <v>5007.4809999999998</v>
      </c>
      <c r="AM550" s="361">
        <v>7119</v>
      </c>
      <c r="AN550" s="361">
        <f t="shared" si="536"/>
        <v>10669</v>
      </c>
      <c r="AO550" s="35">
        <v>10669</v>
      </c>
      <c r="AP550" s="361">
        <v>2802</v>
      </c>
      <c r="AQ550" s="361">
        <v>4946</v>
      </c>
      <c r="AR550" s="361">
        <v>7826</v>
      </c>
      <c r="AS550" s="361">
        <f t="shared" si="537"/>
        <v>9713</v>
      </c>
      <c r="AT550" s="35">
        <v>9713</v>
      </c>
      <c r="AU550" s="439">
        <v>2983</v>
      </c>
      <c r="AV550" s="439">
        <v>4862</v>
      </c>
      <c r="AW550" s="726">
        <v>7633</v>
      </c>
      <c r="AX550" s="439">
        <f>AY550</f>
        <v>0</v>
      </c>
      <c r="AY550" s="440"/>
      <c r="AZ550" s="439"/>
      <c r="BA550" s="439"/>
      <c r="BB550" s="439"/>
      <c r="BC550" s="439">
        <f>BD550</f>
        <v>0</v>
      </c>
      <c r="BD550" s="440"/>
      <c r="BE550" s="440"/>
      <c r="BF550" s="440"/>
      <c r="BG550" s="440"/>
      <c r="BH550" s="361"/>
    </row>
    <row r="551" spans="1:60" s="356" customFormat="1" hidden="1" outlineLevel="1" x14ac:dyDescent="0.25">
      <c r="A551" s="360" t="s">
        <v>217</v>
      </c>
      <c r="B551" s="450"/>
      <c r="C551" s="35">
        <f>82.378+49.444</f>
        <v>131.822</v>
      </c>
      <c r="D551" s="440"/>
      <c r="E551" s="440"/>
      <c r="F551" s="440"/>
      <c r="G551" s="439"/>
      <c r="H551" s="439"/>
      <c r="I551" s="439"/>
      <c r="J551" s="439"/>
      <c r="K551" s="440"/>
      <c r="L551" s="439"/>
      <c r="M551" s="439"/>
      <c r="N551" s="439"/>
      <c r="O551" s="439"/>
      <c r="P551" s="440"/>
      <c r="Q551" s="439"/>
      <c r="R551" s="439"/>
      <c r="S551" s="439"/>
      <c r="T551" s="439"/>
      <c r="U551" s="440"/>
      <c r="V551" s="439"/>
      <c r="W551" s="439"/>
      <c r="X551" s="439"/>
      <c r="Y551" s="361">
        <f t="shared" si="538"/>
        <v>0</v>
      </c>
      <c r="Z551" s="440"/>
      <c r="AA551" s="361">
        <v>-690.94500000000005</v>
      </c>
      <c r="AB551" s="439"/>
      <c r="AC551" s="439"/>
      <c r="AD551" s="361">
        <f t="shared" si="539"/>
        <v>0</v>
      </c>
      <c r="AE551" s="440"/>
      <c r="AF551" s="439"/>
      <c r="AG551" s="439"/>
      <c r="AH551" s="439"/>
      <c r="AI551" s="361">
        <f t="shared" si="535"/>
        <v>0</v>
      </c>
      <c r="AJ551" s="440"/>
      <c r="AK551" s="439"/>
      <c r="AL551" s="439"/>
      <c r="AM551" s="439"/>
      <c r="AN551" s="361">
        <f t="shared" si="536"/>
        <v>0</v>
      </c>
      <c r="AO551" s="440"/>
      <c r="AP551" s="439"/>
      <c r="AQ551" s="439"/>
      <c r="AR551" s="439"/>
      <c r="AS551" s="361">
        <f t="shared" si="537"/>
        <v>0</v>
      </c>
      <c r="AT551" s="440"/>
      <c r="AU551" s="439"/>
      <c r="AV551" s="439"/>
      <c r="AW551" s="726"/>
      <c r="AX551" s="439"/>
      <c r="AY551" s="440"/>
      <c r="AZ551" s="439"/>
      <c r="BA551" s="439"/>
      <c r="BB551" s="439"/>
      <c r="BC551" s="439"/>
      <c r="BD551" s="440"/>
      <c r="BE551" s="440"/>
      <c r="BF551" s="440"/>
      <c r="BG551" s="440"/>
      <c r="BH551" s="361"/>
    </row>
    <row r="552" spans="1:60" s="356" customFormat="1" hidden="1" outlineLevel="1" x14ac:dyDescent="0.25">
      <c r="A552" s="360" t="s">
        <v>218</v>
      </c>
      <c r="B552" s="450"/>
      <c r="C552" s="440"/>
      <c r="D552" s="35">
        <v>188.84200000000001</v>
      </c>
      <c r="E552" s="35">
        <v>172.41</v>
      </c>
      <c r="F552" s="35">
        <v>221.49600000000001</v>
      </c>
      <c r="G552" s="439"/>
      <c r="H552" s="361">
        <v>360</v>
      </c>
      <c r="I552" s="361">
        <v>360</v>
      </c>
      <c r="J552" s="361">
        <f>K552</f>
        <v>360</v>
      </c>
      <c r="K552" s="35">
        <v>360</v>
      </c>
      <c r="L552" s="439"/>
      <c r="M552" s="439"/>
      <c r="N552" s="439"/>
      <c r="O552" s="361">
        <f>P552</f>
        <v>0</v>
      </c>
      <c r="P552" s="440"/>
      <c r="Q552" s="439"/>
      <c r="R552" s="439"/>
      <c r="S552" s="361">
        <v>750</v>
      </c>
      <c r="T552" s="361">
        <f>U552</f>
        <v>730</v>
      </c>
      <c r="U552" s="35">
        <v>730</v>
      </c>
      <c r="V552" s="439"/>
      <c r="W552" s="361">
        <v>1701.7339999999999</v>
      </c>
      <c r="X552" s="361">
        <v>1701.7339999999999</v>
      </c>
      <c r="Y552" s="361">
        <f t="shared" si="538"/>
        <v>1701.7339999999999</v>
      </c>
      <c r="Z552" s="35">
        <v>1701.7339999999999</v>
      </c>
      <c r="AA552" s="361">
        <v>400.17500000000001</v>
      </c>
      <c r="AB552" s="361">
        <v>400.17500000000001</v>
      </c>
      <c r="AC552" s="361">
        <v>400.17500000000001</v>
      </c>
      <c r="AD552" s="361">
        <f t="shared" si="539"/>
        <v>400.17500000000001</v>
      </c>
      <c r="AE552" s="35">
        <v>400.17500000000001</v>
      </c>
      <c r="AF552" s="361">
        <v>1775.481</v>
      </c>
      <c r="AG552" s="439"/>
      <c r="AH552" s="439"/>
      <c r="AI552" s="361">
        <f t="shared" si="535"/>
        <v>0</v>
      </c>
      <c r="AJ552" s="440"/>
      <c r="AK552" s="439"/>
      <c r="AL552" s="361">
        <v>848.23199999999997</v>
      </c>
      <c r="AM552" s="361">
        <v>848</v>
      </c>
      <c r="AN552" s="361">
        <f t="shared" si="536"/>
        <v>848</v>
      </c>
      <c r="AO552" s="35">
        <v>848</v>
      </c>
      <c r="AP552" s="361">
        <v>2309</v>
      </c>
      <c r="AQ552" s="361">
        <v>2309</v>
      </c>
      <c r="AR552" s="361">
        <v>7282</v>
      </c>
      <c r="AS552" s="361">
        <f t="shared" si="537"/>
        <v>12269</v>
      </c>
      <c r="AT552" s="35">
        <v>12269</v>
      </c>
      <c r="AU552" s="439"/>
      <c r="AV552" s="439"/>
      <c r="AW552" s="726"/>
      <c r="AX552" s="439">
        <f>AY552</f>
        <v>0</v>
      </c>
      <c r="AY552" s="440"/>
      <c r="AZ552" s="439"/>
      <c r="BA552" s="439"/>
      <c r="BB552" s="439"/>
      <c r="BC552" s="439">
        <f>BD552</f>
        <v>0</v>
      </c>
      <c r="BD552" s="440"/>
      <c r="BE552" s="440"/>
      <c r="BF552" s="440"/>
      <c r="BG552" s="440"/>
      <c r="BH552" s="361"/>
    </row>
    <row r="553" spans="1:60" s="356" customFormat="1" hidden="1" outlineLevel="1" x14ac:dyDescent="0.25">
      <c r="A553" s="360" t="s">
        <v>219</v>
      </c>
      <c r="B553" s="450"/>
      <c r="C553" s="440"/>
      <c r="D553" s="440"/>
      <c r="E553" s="440"/>
      <c r="F553" s="440"/>
      <c r="G553" s="439"/>
      <c r="H553" s="439"/>
      <c r="I553" s="439"/>
      <c r="J553" s="439"/>
      <c r="K553" s="440"/>
      <c r="L553" s="439"/>
      <c r="M553" s="439"/>
      <c r="N553" s="439"/>
      <c r="O553" s="439"/>
      <c r="P553" s="440"/>
      <c r="Q553" s="439"/>
      <c r="R553" s="439"/>
      <c r="S553" s="439"/>
      <c r="T553" s="439"/>
      <c r="U553" s="440"/>
      <c r="V553" s="439"/>
      <c r="W553" s="439"/>
      <c r="X553" s="439"/>
      <c r="Y553" s="361">
        <f t="shared" si="538"/>
        <v>-1857.5940000000001</v>
      </c>
      <c r="Z553" s="35">
        <v>-1857.5940000000001</v>
      </c>
      <c r="AA553" s="361">
        <v>-90</v>
      </c>
      <c r="AB553" s="361">
        <v>-165</v>
      </c>
      <c r="AC553" s="361">
        <v>-165</v>
      </c>
      <c r="AD553" s="361">
        <f t="shared" si="539"/>
        <v>-165</v>
      </c>
      <c r="AE553" s="35">
        <v>-165</v>
      </c>
      <c r="AF553" s="361">
        <v>-17.5</v>
      </c>
      <c r="AG553" s="361">
        <v>-17.5</v>
      </c>
      <c r="AH553" s="361">
        <v>-100</v>
      </c>
      <c r="AI553" s="361">
        <f t="shared" si="535"/>
        <v>-100</v>
      </c>
      <c r="AJ553" s="35">
        <v>-100</v>
      </c>
      <c r="AK553" s="439"/>
      <c r="AL553" s="439"/>
      <c r="AM553" s="439"/>
      <c r="AN553" s="361">
        <f t="shared" si="536"/>
        <v>0</v>
      </c>
      <c r="AO553" s="440"/>
      <c r="AP553" s="439"/>
      <c r="AQ553" s="439"/>
      <c r="AR553" s="439"/>
      <c r="AS553" s="361">
        <f t="shared" si="537"/>
        <v>0</v>
      </c>
      <c r="AT553" s="440"/>
      <c r="AU553" s="439"/>
      <c r="AV553" s="439"/>
      <c r="AW553" s="726"/>
      <c r="AX553" s="439"/>
      <c r="AY553" s="440"/>
      <c r="AZ553" s="439"/>
      <c r="BA553" s="439"/>
      <c r="BB553" s="439"/>
      <c r="BC553" s="439"/>
      <c r="BD553" s="440"/>
      <c r="BE553" s="440"/>
      <c r="BF553" s="440"/>
      <c r="BG553" s="440"/>
      <c r="BH553" s="361"/>
    </row>
    <row r="554" spans="1:60" s="356" customFormat="1" hidden="1" outlineLevel="1" x14ac:dyDescent="0.25">
      <c r="A554" s="360" t="s">
        <v>220</v>
      </c>
      <c r="B554" s="450"/>
      <c r="C554" s="440"/>
      <c r="D554" s="440"/>
      <c r="E554" s="440"/>
      <c r="F554" s="440"/>
      <c r="G554" s="439"/>
      <c r="H554" s="439"/>
      <c r="I554" s="439"/>
      <c r="J554" s="439"/>
      <c r="K554" s="440"/>
      <c r="L554" s="439"/>
      <c r="M554" s="439"/>
      <c r="N554" s="439"/>
      <c r="O554" s="439"/>
      <c r="P554" s="440"/>
      <c r="Q554" s="439"/>
      <c r="R554" s="439"/>
      <c r="S554" s="439"/>
      <c r="T554" s="439"/>
      <c r="U554" s="440"/>
      <c r="V554" s="439"/>
      <c r="W554" s="439"/>
      <c r="X554" s="439"/>
      <c r="Y554" s="439"/>
      <c r="Z554" s="440"/>
      <c r="AA554" s="439"/>
      <c r="AB554" s="361">
        <v>-1412.2860000000001</v>
      </c>
      <c r="AC554" s="361">
        <v>-2442.942</v>
      </c>
      <c r="AD554" s="361">
        <f t="shared" si="539"/>
        <v>-3995.4839999999999</v>
      </c>
      <c r="AE554" s="35">
        <v>-3995.4839999999999</v>
      </c>
      <c r="AF554" s="361">
        <v>-1389.3879999999999</v>
      </c>
      <c r="AG554" s="361">
        <v>-2268.7159999999999</v>
      </c>
      <c r="AH554" s="361">
        <v>-3111.2420000000002</v>
      </c>
      <c r="AI554" s="361">
        <f t="shared" si="535"/>
        <v>-5247.0569999999998</v>
      </c>
      <c r="AJ554" s="35">
        <v>-5247.0569999999998</v>
      </c>
      <c r="AK554" s="361">
        <v>-1970.7090000000001</v>
      </c>
      <c r="AL554" s="361">
        <v>-3700.3319999999999</v>
      </c>
      <c r="AM554" s="361">
        <v>-5601</v>
      </c>
      <c r="AN554" s="361">
        <f t="shared" si="536"/>
        <v>-9161</v>
      </c>
      <c r="AO554" s="35">
        <v>-9161</v>
      </c>
      <c r="AP554" s="361">
        <v>-2318</v>
      </c>
      <c r="AQ554" s="361">
        <v>-4226</v>
      </c>
      <c r="AR554" s="361">
        <v>-7537</v>
      </c>
      <c r="AS554" s="361">
        <f t="shared" si="537"/>
        <v>-11623</v>
      </c>
      <c r="AT554" s="35">
        <v>-11623</v>
      </c>
      <c r="AU554" s="439">
        <v>-4038</v>
      </c>
      <c r="AV554" s="439">
        <v>-7408</v>
      </c>
      <c r="AW554" s="726">
        <v>-11589</v>
      </c>
      <c r="AX554" s="439"/>
      <c r="AY554" s="440"/>
      <c r="AZ554" s="439"/>
      <c r="BA554" s="439"/>
      <c r="BB554" s="439"/>
      <c r="BC554" s="439"/>
      <c r="BD554" s="440"/>
      <c r="BE554" s="440"/>
      <c r="BF554" s="440"/>
      <c r="BG554" s="440"/>
      <c r="BH554" s="361"/>
    </row>
    <row r="555" spans="1:60" s="356" customFormat="1" hidden="1" outlineLevel="1" x14ac:dyDescent="0.25">
      <c r="A555" s="360" t="s">
        <v>221</v>
      </c>
      <c r="B555" s="450"/>
      <c r="C555" s="440"/>
      <c r="D555" s="440"/>
      <c r="E555" s="440"/>
      <c r="F555" s="440"/>
      <c r="G555" s="439"/>
      <c r="H555" s="439"/>
      <c r="I555" s="439"/>
      <c r="J555" s="439"/>
      <c r="K555" s="440"/>
      <c r="L555" s="439"/>
      <c r="M555" s="439"/>
      <c r="N555" s="439"/>
      <c r="O555" s="439"/>
      <c r="P555" s="440"/>
      <c r="Q555" s="439"/>
      <c r="R555" s="439"/>
      <c r="S555" s="439"/>
      <c r="T555" s="439"/>
      <c r="U555" s="440"/>
      <c r="V555" s="439"/>
      <c r="W555" s="439"/>
      <c r="X555" s="439"/>
      <c r="Y555" s="439"/>
      <c r="Z555" s="440"/>
      <c r="AA555" s="439"/>
      <c r="AB555" s="361">
        <v>251.85</v>
      </c>
      <c r="AC555" s="361">
        <v>269.45600000000002</v>
      </c>
      <c r="AD555" s="361">
        <f t="shared" si="539"/>
        <v>287.21300000000002</v>
      </c>
      <c r="AE555" s="35">
        <v>287.21300000000002</v>
      </c>
      <c r="AF555" s="439"/>
      <c r="AG555" s="439"/>
      <c r="AH555" s="439"/>
      <c r="AI555" s="361">
        <f t="shared" si="535"/>
        <v>0</v>
      </c>
      <c r="AJ555" s="440"/>
      <c r="AK555" s="439"/>
      <c r="AL555" s="439"/>
      <c r="AM555" s="439"/>
      <c r="AN555" s="361">
        <f t="shared" si="536"/>
        <v>0</v>
      </c>
      <c r="AO555" s="440"/>
      <c r="AP555" s="439"/>
      <c r="AQ555" s="439"/>
      <c r="AR555" s="439"/>
      <c r="AS555" s="361">
        <f t="shared" si="537"/>
        <v>0</v>
      </c>
      <c r="AT555" s="440"/>
      <c r="AU555" s="439"/>
      <c r="AV555" s="439"/>
      <c r="AW555" s="726"/>
      <c r="AX555" s="439"/>
      <c r="AY555" s="440"/>
      <c r="AZ555" s="439"/>
      <c r="BA555" s="439"/>
      <c r="BB555" s="439"/>
      <c r="BC555" s="439"/>
      <c r="BD555" s="440"/>
      <c r="BE555" s="440"/>
      <c r="BF555" s="440"/>
      <c r="BG555" s="440"/>
      <c r="BH555" s="361"/>
    </row>
    <row r="556" spans="1:60" s="356" customFormat="1" hidden="1" outlineLevel="1" x14ac:dyDescent="0.25">
      <c r="A556" s="360" t="s">
        <v>222</v>
      </c>
      <c r="B556" s="450"/>
      <c r="C556" s="440"/>
      <c r="D556" s="440"/>
      <c r="E556" s="440"/>
      <c r="F556" s="440"/>
      <c r="G556" s="439"/>
      <c r="H556" s="439"/>
      <c r="I556" s="439"/>
      <c r="J556" s="439"/>
      <c r="K556" s="440"/>
      <c r="L556" s="439"/>
      <c r="M556" s="439"/>
      <c r="N556" s="439"/>
      <c r="O556" s="439"/>
      <c r="P556" s="440"/>
      <c r="Q556" s="439"/>
      <c r="R556" s="439"/>
      <c r="S556" s="439"/>
      <c r="T556" s="439"/>
      <c r="U556" s="440"/>
      <c r="V556" s="439"/>
      <c r="W556" s="439"/>
      <c r="X556" s="439"/>
      <c r="Y556" s="439"/>
      <c r="Z556" s="440"/>
      <c r="AA556" s="439"/>
      <c r="AB556" s="361">
        <v>-208.19300000000001</v>
      </c>
      <c r="AC556" s="361">
        <v>-219.53800000000001</v>
      </c>
      <c r="AD556" s="361">
        <f t="shared" si="539"/>
        <v>-230.38499999999999</v>
      </c>
      <c r="AE556" s="35">
        <v>-230.38499999999999</v>
      </c>
      <c r="AF556" s="439"/>
      <c r="AG556" s="439"/>
      <c r="AH556" s="361">
        <v>-5.0000000000000001E-3</v>
      </c>
      <c r="AI556" s="361">
        <f t="shared" si="535"/>
        <v>-1.0999999999999999E-2</v>
      </c>
      <c r="AJ556" s="35">
        <v>-1.0999999999999999E-2</v>
      </c>
      <c r="AK556" s="439"/>
      <c r="AL556" s="439"/>
      <c r="AM556" s="439"/>
      <c r="AN556" s="361">
        <f t="shared" si="536"/>
        <v>0</v>
      </c>
      <c r="AO556" s="440"/>
      <c r="AP556" s="439"/>
      <c r="AQ556" s="439"/>
      <c r="AR556" s="439"/>
      <c r="AS556" s="361">
        <f t="shared" si="537"/>
        <v>0</v>
      </c>
      <c r="AT556" s="440"/>
      <c r="AU556" s="439"/>
      <c r="AV556" s="439"/>
      <c r="AW556" s="726"/>
      <c r="AX556" s="439"/>
      <c r="AY556" s="440"/>
      <c r="AZ556" s="439"/>
      <c r="BA556" s="439"/>
      <c r="BB556" s="439"/>
      <c r="BC556" s="439"/>
      <c r="BD556" s="440"/>
      <c r="BE556" s="440"/>
      <c r="BF556" s="440"/>
      <c r="BG556" s="440"/>
      <c r="BH556" s="361"/>
    </row>
    <row r="557" spans="1:60" s="356" customFormat="1" hidden="1" outlineLevel="1" x14ac:dyDescent="0.25">
      <c r="A557" s="360" t="s">
        <v>223</v>
      </c>
      <c r="B557" s="450"/>
      <c r="C557" s="440"/>
      <c r="D557" s="440"/>
      <c r="E557" s="440"/>
      <c r="F557" s="440"/>
      <c r="G557" s="439"/>
      <c r="H557" s="361">
        <v>120.318</v>
      </c>
      <c r="I557" s="361">
        <v>120.318</v>
      </c>
      <c r="J557" s="361">
        <f>K557</f>
        <v>120.318</v>
      </c>
      <c r="K557" s="35">
        <v>120.318</v>
      </c>
      <c r="L557" s="361">
        <v>338.4</v>
      </c>
      <c r="M557" s="361">
        <v>389.16</v>
      </c>
      <c r="N557" s="361">
        <v>389.16</v>
      </c>
      <c r="O557" s="361">
        <f>P557</f>
        <v>389.16</v>
      </c>
      <c r="P557" s="35">
        <v>389.16</v>
      </c>
      <c r="Q557" s="439"/>
      <c r="R557" s="439"/>
      <c r="S557" s="439"/>
      <c r="T557" s="361">
        <f>U557</f>
        <v>0</v>
      </c>
      <c r="U557" s="440"/>
      <c r="V557" s="439"/>
      <c r="W557" s="439"/>
      <c r="X557" s="439"/>
      <c r="Y557" s="361">
        <f>Z557</f>
        <v>0</v>
      </c>
      <c r="Z557" s="440"/>
      <c r="AA557" s="361">
        <v>52.883000000000003</v>
      </c>
      <c r="AB557" s="361">
        <v>52.883000000000003</v>
      </c>
      <c r="AC557" s="361">
        <v>52.883000000000003</v>
      </c>
      <c r="AD557" s="361">
        <f t="shared" si="539"/>
        <v>52.883000000000003</v>
      </c>
      <c r="AE557" s="35">
        <v>52.883000000000003</v>
      </c>
      <c r="AF557" s="439"/>
      <c r="AG557" s="439"/>
      <c r="AH557" s="439"/>
      <c r="AI557" s="361">
        <f t="shared" si="535"/>
        <v>0</v>
      </c>
      <c r="AJ557" s="440"/>
      <c r="AK557" s="439"/>
      <c r="AL557" s="361">
        <v>174.43199999999999</v>
      </c>
      <c r="AM557" s="361">
        <v>174</v>
      </c>
      <c r="AN557" s="361">
        <f t="shared" si="536"/>
        <v>174</v>
      </c>
      <c r="AO557" s="35">
        <v>174</v>
      </c>
      <c r="AP557" s="439"/>
      <c r="AQ557" s="439"/>
      <c r="AR557" s="439"/>
      <c r="AS557" s="361">
        <f t="shared" si="537"/>
        <v>0</v>
      </c>
      <c r="AT557" s="440"/>
      <c r="AU557" s="439"/>
      <c r="AV557" s="439"/>
      <c r="AW557" s="726"/>
      <c r="AX557" s="439">
        <f>AY557</f>
        <v>0</v>
      </c>
      <c r="AY557" s="440"/>
      <c r="AZ557" s="439"/>
      <c r="BA557" s="439"/>
      <c r="BB557" s="439"/>
      <c r="BC557" s="439">
        <f>BD557</f>
        <v>0</v>
      </c>
      <c r="BD557" s="440"/>
      <c r="BE557" s="440"/>
      <c r="BF557" s="440"/>
      <c r="BG557" s="440"/>
      <c r="BH557" s="361"/>
    </row>
    <row r="558" spans="1:60" s="356" customFormat="1" hidden="1" outlineLevel="1" x14ac:dyDescent="0.25">
      <c r="A558" s="360" t="s">
        <v>224</v>
      </c>
      <c r="B558" s="450"/>
      <c r="C558" s="35">
        <v>0.497</v>
      </c>
      <c r="D558" s="35">
        <v>1.35</v>
      </c>
      <c r="E558" s="35">
        <v>10.525</v>
      </c>
      <c r="F558" s="35">
        <v>24.885000000000002</v>
      </c>
      <c r="G558" s="361">
        <v>17.902999999999999</v>
      </c>
      <c r="H558" s="361">
        <v>55.091000000000001</v>
      </c>
      <c r="I558" s="361">
        <v>82.218999999999994</v>
      </c>
      <c r="J558" s="361">
        <f>K558</f>
        <v>95.307000000000002</v>
      </c>
      <c r="K558" s="35">
        <v>95.307000000000002</v>
      </c>
      <c r="L558" s="361">
        <v>35.725999999999999</v>
      </c>
      <c r="M558" s="361">
        <v>53.115000000000002</v>
      </c>
      <c r="N558" s="361">
        <v>89.924999999999997</v>
      </c>
      <c r="O558" s="361">
        <f>P558</f>
        <v>100.455</v>
      </c>
      <c r="P558" s="35">
        <v>100.455</v>
      </c>
      <c r="Q558" s="361">
        <v>35.218000000000004</v>
      </c>
      <c r="R558" s="361">
        <v>58.871000000000002</v>
      </c>
      <c r="S558" s="361">
        <v>94.025999999999996</v>
      </c>
      <c r="T558" s="361">
        <f>U558</f>
        <v>106.611</v>
      </c>
      <c r="U558" s="35">
        <v>106.611</v>
      </c>
      <c r="V558" s="361">
        <v>52.838000000000001</v>
      </c>
      <c r="W558" s="361">
        <v>110.47799999999999</v>
      </c>
      <c r="X558" s="361">
        <v>153.46100000000001</v>
      </c>
      <c r="Y558" s="361">
        <f>Z558</f>
        <v>163.81700000000001</v>
      </c>
      <c r="Z558" s="35">
        <v>163.81700000000001</v>
      </c>
      <c r="AA558" s="361">
        <v>57.307000000000002</v>
      </c>
      <c r="AB558" s="361">
        <v>158.91300000000001</v>
      </c>
      <c r="AC558" s="361">
        <v>239.328</v>
      </c>
      <c r="AD558" s="361">
        <f t="shared" si="539"/>
        <v>259.11599999999999</v>
      </c>
      <c r="AE558" s="35">
        <v>259.11599999999999</v>
      </c>
      <c r="AF558" s="361">
        <v>94.018000000000001</v>
      </c>
      <c r="AG558" s="361">
        <v>125.071</v>
      </c>
      <c r="AH558" s="361">
        <v>219.94499999999999</v>
      </c>
      <c r="AI558" s="361">
        <f t="shared" si="535"/>
        <v>295.72199999999998</v>
      </c>
      <c r="AJ558" s="35">
        <v>295.72199999999998</v>
      </c>
      <c r="AK558" s="361">
        <v>77.953000000000003</v>
      </c>
      <c r="AL558" s="361">
        <v>95.584999999999994</v>
      </c>
      <c r="AM558" s="361">
        <v>167</v>
      </c>
      <c r="AN558" s="361">
        <f t="shared" si="536"/>
        <v>263</v>
      </c>
      <c r="AO558" s="35">
        <v>263</v>
      </c>
      <c r="AP558" s="361">
        <v>160</v>
      </c>
      <c r="AQ558" s="361">
        <v>217</v>
      </c>
      <c r="AR558" s="361">
        <v>361</v>
      </c>
      <c r="AS558" s="361">
        <f t="shared" si="537"/>
        <v>417</v>
      </c>
      <c r="AT558" s="35">
        <v>417</v>
      </c>
      <c r="AU558" s="439">
        <v>183</v>
      </c>
      <c r="AV558" s="439">
        <v>253</v>
      </c>
      <c r="AW558" s="726">
        <v>445</v>
      </c>
      <c r="AX558" s="439">
        <f>AY558</f>
        <v>0</v>
      </c>
      <c r="AY558" s="440"/>
      <c r="AZ558" s="439"/>
      <c r="BA558" s="439"/>
      <c r="BB558" s="439"/>
      <c r="BC558" s="439">
        <f>BD558</f>
        <v>0</v>
      </c>
      <c r="BD558" s="440"/>
      <c r="BE558" s="440"/>
      <c r="BF558" s="440"/>
      <c r="BG558" s="440"/>
      <c r="BH558" s="361"/>
    </row>
    <row r="559" spans="1:60" s="356" customFormat="1" hidden="1" outlineLevel="1" x14ac:dyDescent="0.25">
      <c r="A559" s="360" t="s">
        <v>225</v>
      </c>
      <c r="B559" s="450"/>
      <c r="C559" s="440"/>
      <c r="D559" s="35">
        <v>80</v>
      </c>
      <c r="E559" s="35">
        <v>59.058</v>
      </c>
      <c r="F559" s="440"/>
      <c r="G559" s="439"/>
      <c r="H559" s="361">
        <v>55</v>
      </c>
      <c r="I559" s="361">
        <v>55</v>
      </c>
      <c r="J559" s="361">
        <f>K559</f>
        <v>55</v>
      </c>
      <c r="K559" s="35">
        <v>55</v>
      </c>
      <c r="L559" s="439"/>
      <c r="M559" s="439"/>
      <c r="N559" s="439"/>
      <c r="O559" s="361">
        <f>P559</f>
        <v>0</v>
      </c>
      <c r="P559" s="440"/>
      <c r="Q559" s="439"/>
      <c r="R559" s="439"/>
      <c r="S559" s="439"/>
      <c r="T559" s="361">
        <f>U559</f>
        <v>20</v>
      </c>
      <c r="U559" s="35">
        <v>20</v>
      </c>
      <c r="V559" s="439"/>
      <c r="W559" s="439"/>
      <c r="X559" s="439"/>
      <c r="Y559" s="361">
        <f>Z559</f>
        <v>0</v>
      </c>
      <c r="Z559" s="440"/>
      <c r="AA559" s="439"/>
      <c r="AB559" s="439"/>
      <c r="AC559" s="439"/>
      <c r="AD559" s="361">
        <f t="shared" si="539"/>
        <v>0</v>
      </c>
      <c r="AE559" s="440"/>
      <c r="AF559" s="439"/>
      <c r="AG559" s="439"/>
      <c r="AH559" s="439"/>
      <c r="AI559" s="361">
        <f t="shared" si="535"/>
        <v>0</v>
      </c>
      <c r="AJ559" s="440"/>
      <c r="AK559" s="439"/>
      <c r="AL559" s="439"/>
      <c r="AM559" s="439"/>
      <c r="AN559" s="361">
        <f t="shared" si="536"/>
        <v>0</v>
      </c>
      <c r="AO559" s="440"/>
      <c r="AP559" s="439"/>
      <c r="AQ559" s="439"/>
      <c r="AR559" s="439"/>
      <c r="AS559" s="361">
        <f t="shared" si="537"/>
        <v>0</v>
      </c>
      <c r="AT559" s="440"/>
      <c r="AU559" s="439"/>
      <c r="AV559" s="439"/>
      <c r="AW559" s="726"/>
      <c r="AX559" s="439">
        <f>AY559</f>
        <v>0</v>
      </c>
      <c r="AY559" s="440"/>
      <c r="AZ559" s="439"/>
      <c r="BA559" s="439"/>
      <c r="BB559" s="439"/>
      <c r="BC559" s="439">
        <f>BD559</f>
        <v>0</v>
      </c>
      <c r="BD559" s="440"/>
      <c r="BE559" s="440"/>
      <c r="BF559" s="440"/>
      <c r="BG559" s="440"/>
      <c r="BH559" s="361"/>
    </row>
    <row r="560" spans="1:60" s="356" customFormat="1" hidden="1" outlineLevel="1" x14ac:dyDescent="0.25">
      <c r="A560" s="360" t="s">
        <v>226</v>
      </c>
      <c r="B560" s="450"/>
      <c r="C560" s="440"/>
      <c r="D560" s="440"/>
      <c r="E560" s="440"/>
      <c r="F560" s="35">
        <v>-12.71</v>
      </c>
      <c r="G560" s="439"/>
      <c r="H560" s="361">
        <v>-452.33699999999999</v>
      </c>
      <c r="I560" s="361">
        <v>-452.33699999999999</v>
      </c>
      <c r="J560" s="361">
        <f>K560</f>
        <v>-452.33699999999999</v>
      </c>
      <c r="K560" s="35">
        <v>-452.33699999999999</v>
      </c>
      <c r="L560" s="439"/>
      <c r="M560" s="439"/>
      <c r="N560" s="439"/>
      <c r="O560" s="361">
        <f>P560</f>
        <v>0</v>
      </c>
      <c r="P560" s="440"/>
      <c r="Q560" s="439"/>
      <c r="R560" s="439"/>
      <c r="S560" s="439"/>
      <c r="T560" s="361">
        <f>U560</f>
        <v>0</v>
      </c>
      <c r="U560" s="440"/>
      <c r="V560" s="439"/>
      <c r="W560" s="439"/>
      <c r="X560" s="439"/>
      <c r="Y560" s="361">
        <f>Z560</f>
        <v>0</v>
      </c>
      <c r="Z560" s="440"/>
      <c r="AA560" s="439"/>
      <c r="AB560" s="361">
        <v>-36.856999999999999</v>
      </c>
      <c r="AC560" s="439"/>
      <c r="AD560" s="361">
        <f t="shared" si="539"/>
        <v>0</v>
      </c>
      <c r="AE560" s="440"/>
      <c r="AF560" s="439"/>
      <c r="AG560" s="439"/>
      <c r="AH560" s="439"/>
      <c r="AI560" s="361">
        <f t="shared" si="535"/>
        <v>0</v>
      </c>
      <c r="AJ560" s="440"/>
      <c r="AK560" s="439"/>
      <c r="AL560" s="439"/>
      <c r="AM560" s="439"/>
      <c r="AN560" s="361">
        <f t="shared" si="536"/>
        <v>0</v>
      </c>
      <c r="AO560" s="440"/>
      <c r="AP560" s="439"/>
      <c r="AQ560" s="439"/>
      <c r="AR560" s="439"/>
      <c r="AS560" s="361">
        <f t="shared" si="537"/>
        <v>0</v>
      </c>
      <c r="AT560" s="440"/>
      <c r="AU560" s="439"/>
      <c r="AV560" s="439"/>
      <c r="AW560" s="726"/>
      <c r="AX560" s="439">
        <f>AY560</f>
        <v>0</v>
      </c>
      <c r="AY560" s="440"/>
      <c r="AZ560" s="439"/>
      <c r="BA560" s="439"/>
      <c r="BB560" s="439"/>
      <c r="BC560" s="439">
        <f>BD560</f>
        <v>0</v>
      </c>
      <c r="BD560" s="440"/>
      <c r="BE560" s="440"/>
      <c r="BF560" s="440"/>
      <c r="BG560" s="440"/>
      <c r="BH560" s="361"/>
    </row>
    <row r="561" spans="1:60" s="356" customFormat="1" hidden="1" outlineLevel="1" x14ac:dyDescent="0.25">
      <c r="A561" s="360" t="s">
        <v>227</v>
      </c>
      <c r="B561" s="450"/>
      <c r="C561" s="440"/>
      <c r="D561" s="440"/>
      <c r="E561" s="440"/>
      <c r="F561" s="440"/>
      <c r="G561" s="439"/>
      <c r="H561" s="361">
        <v>-177.54</v>
      </c>
      <c r="I561" s="361">
        <v>-177.54</v>
      </c>
      <c r="J561" s="361">
        <f>K561</f>
        <v>-177.54</v>
      </c>
      <c r="K561" s="35">
        <v>-177.54</v>
      </c>
      <c r="L561" s="361">
        <v>-524.72</v>
      </c>
      <c r="M561" s="361">
        <v>-603.428</v>
      </c>
      <c r="N561" s="361">
        <v>-603.428</v>
      </c>
      <c r="O561" s="361">
        <f>P561</f>
        <v>-603.428</v>
      </c>
      <c r="P561" s="35">
        <v>-603.428</v>
      </c>
      <c r="Q561" s="439"/>
      <c r="R561" s="439"/>
      <c r="S561" s="439"/>
      <c r="T561" s="361">
        <f>U561</f>
        <v>0</v>
      </c>
      <c r="U561" s="440"/>
      <c r="V561" s="439"/>
      <c r="W561" s="439"/>
      <c r="X561" s="439"/>
      <c r="Y561" s="361">
        <f>Z561</f>
        <v>0</v>
      </c>
      <c r="Z561" s="440"/>
      <c r="AA561" s="361">
        <v>-204.102</v>
      </c>
      <c r="AB561" s="361">
        <v>-204.102</v>
      </c>
      <c r="AC561" s="361">
        <v>-204.102</v>
      </c>
      <c r="AD561" s="361">
        <f t="shared" si="539"/>
        <v>-204.102</v>
      </c>
      <c r="AE561" s="35">
        <v>-204.102</v>
      </c>
      <c r="AF561" s="439"/>
      <c r="AG561" s="439"/>
      <c r="AH561" s="439"/>
      <c r="AI561" s="361">
        <f t="shared" si="535"/>
        <v>0</v>
      </c>
      <c r="AJ561" s="440"/>
      <c r="AK561" s="439"/>
      <c r="AL561" s="361">
        <v>-475.82400000000001</v>
      </c>
      <c r="AM561" s="361">
        <v>-476</v>
      </c>
      <c r="AN561" s="361">
        <f t="shared" si="536"/>
        <v>-476</v>
      </c>
      <c r="AO561" s="35">
        <v>-476</v>
      </c>
      <c r="AP561" s="439"/>
      <c r="AQ561" s="439"/>
      <c r="AR561" s="439"/>
      <c r="AS561" s="361">
        <f t="shared" si="537"/>
        <v>0</v>
      </c>
      <c r="AT561" s="440"/>
      <c r="AU561" s="439"/>
      <c r="AV561" s="439"/>
      <c r="AW561" s="726"/>
      <c r="AX561" s="439">
        <f>AY561</f>
        <v>0</v>
      </c>
      <c r="AY561" s="440"/>
      <c r="AZ561" s="439"/>
      <c r="BA561" s="439"/>
      <c r="BB561" s="439"/>
      <c r="BC561" s="439">
        <f>BD561</f>
        <v>0</v>
      </c>
      <c r="BD561" s="440"/>
      <c r="BE561" s="440"/>
      <c r="BF561" s="440"/>
      <c r="BG561" s="440"/>
      <c r="BH561" s="361"/>
    </row>
    <row r="562" spans="1:60" s="356" customFormat="1" hidden="1" outlineLevel="1" x14ac:dyDescent="0.25">
      <c r="A562" s="360" t="s">
        <v>498</v>
      </c>
      <c r="B562" s="450"/>
      <c r="C562" s="440"/>
      <c r="D562" s="440"/>
      <c r="E562" s="440"/>
      <c r="F562" s="440"/>
      <c r="G562" s="439"/>
      <c r="H562" s="439"/>
      <c r="I562" s="439"/>
      <c r="J562" s="439"/>
      <c r="K562" s="440"/>
      <c r="L562" s="439"/>
      <c r="M562" s="439"/>
      <c r="N562" s="439"/>
      <c r="O562" s="439"/>
      <c r="P562" s="440"/>
      <c r="Q562" s="439"/>
      <c r="R562" s="439"/>
      <c r="S562" s="439"/>
      <c r="T562" s="439"/>
      <c r="U562" s="440"/>
      <c r="V562" s="439"/>
      <c r="W562" s="439"/>
      <c r="X562" s="439"/>
      <c r="Y562" s="439"/>
      <c r="Z562" s="440"/>
      <c r="AA562" s="439"/>
      <c r="AB562" s="439"/>
      <c r="AC562" s="439"/>
      <c r="AD562" s="439"/>
      <c r="AE562" s="440"/>
      <c r="AF562" s="439"/>
      <c r="AG562" s="439"/>
      <c r="AH562" s="439"/>
      <c r="AI562" s="439"/>
      <c r="AJ562" s="440"/>
      <c r="AK562" s="439"/>
      <c r="AL562" s="439"/>
      <c r="AM562" s="439"/>
      <c r="AN562" s="439"/>
      <c r="AO562" s="440"/>
      <c r="AP562" s="439"/>
      <c r="AQ562" s="439"/>
      <c r="AR562" s="439"/>
      <c r="AS562" s="439"/>
      <c r="AT562" s="440"/>
      <c r="AU562" s="439"/>
      <c r="AV562" s="439"/>
      <c r="AW562" s="726"/>
      <c r="AX562" s="439"/>
      <c r="AY562" s="440"/>
      <c r="AZ562" s="439"/>
      <c r="BA562" s="439"/>
      <c r="BB562" s="439"/>
      <c r="BC562" s="439"/>
      <c r="BD562" s="440"/>
      <c r="BE562" s="440"/>
      <c r="BF562" s="440"/>
      <c r="BG562" s="440"/>
      <c r="BH562" s="361"/>
    </row>
    <row r="563" spans="1:60" s="356" customFormat="1" hidden="1" outlineLevel="1" x14ac:dyDescent="0.25">
      <c r="A563" s="360" t="s">
        <v>228</v>
      </c>
      <c r="B563" s="450"/>
      <c r="C563" s="35">
        <v>-2.0459999999999998</v>
      </c>
      <c r="D563" s="35">
        <v>-3.734</v>
      </c>
      <c r="E563" s="440"/>
      <c r="F563" s="440"/>
      <c r="G563" s="439"/>
      <c r="H563" s="361">
        <v>-16.207000000000001</v>
      </c>
      <c r="I563" s="361">
        <v>-16.373999999999999</v>
      </c>
      <c r="J563" s="361">
        <f>K563</f>
        <v>-16.901</v>
      </c>
      <c r="K563" s="35">
        <v>-16.901</v>
      </c>
      <c r="L563" s="361">
        <v>-30.302</v>
      </c>
      <c r="M563" s="361">
        <v>-35.15</v>
      </c>
      <c r="N563" s="361">
        <v>-35.15</v>
      </c>
      <c r="O563" s="361">
        <f>P563</f>
        <v>-35.149000000000001</v>
      </c>
      <c r="P563" s="35">
        <v>-35.149000000000001</v>
      </c>
      <c r="Q563" s="361">
        <v>-0.95799999999999996</v>
      </c>
      <c r="R563" s="361">
        <v>-5.2439999999999998</v>
      </c>
      <c r="S563" s="361">
        <v>-16.558</v>
      </c>
      <c r="T563" s="361">
        <f>U563</f>
        <v>-17.024999999999999</v>
      </c>
      <c r="U563" s="35">
        <v>-17.024999999999999</v>
      </c>
      <c r="V563" s="361">
        <v>-1.038</v>
      </c>
      <c r="W563" s="361">
        <v>-15.765000000000001</v>
      </c>
      <c r="X563" s="361">
        <v>-18.071999999999999</v>
      </c>
      <c r="Y563" s="361">
        <f>Z563</f>
        <v>-20.042000000000002</v>
      </c>
      <c r="Z563" s="35">
        <v>-20.042000000000002</v>
      </c>
      <c r="AA563" s="361">
        <v>-11.093999999999999</v>
      </c>
      <c r="AB563" s="361">
        <v>-13.688000000000001</v>
      </c>
      <c r="AC563" s="361">
        <v>-50.53</v>
      </c>
      <c r="AD563" s="361">
        <f t="shared" ref="AD563:AD569" si="540">AE563</f>
        <v>-63.110999999999997</v>
      </c>
      <c r="AE563" s="35">
        <v>-63.110999999999997</v>
      </c>
      <c r="AF563" s="361">
        <v>-2.9129999999999998</v>
      </c>
      <c r="AG563" s="361">
        <v>-3.6709999999999998</v>
      </c>
      <c r="AH563" s="361">
        <v>-5.1210000000000004</v>
      </c>
      <c r="AI563" s="361">
        <f t="shared" ref="AI563:AI569" si="541">AJ563</f>
        <v>-14.973000000000001</v>
      </c>
      <c r="AJ563" s="35">
        <v>-14.973000000000001</v>
      </c>
      <c r="AK563" s="361">
        <v>-7.7569999999999997</v>
      </c>
      <c r="AL563" s="361">
        <v>-30.376000000000001</v>
      </c>
      <c r="AM563" s="361">
        <v>-32</v>
      </c>
      <c r="AN563" s="361">
        <f t="shared" ref="AN563:AN570" si="542">AO563</f>
        <v>-37</v>
      </c>
      <c r="AO563" s="35">
        <v>-37</v>
      </c>
      <c r="AP563" s="439"/>
      <c r="AQ563" s="439"/>
      <c r="AR563" s="361">
        <v>-6</v>
      </c>
      <c r="AS563" s="361">
        <f t="shared" ref="AS563:AS570" si="543">AT563</f>
        <v>-6</v>
      </c>
      <c r="AT563" s="35">
        <v>-6</v>
      </c>
      <c r="AU563" s="439"/>
      <c r="AV563" s="439"/>
      <c r="AW563" s="726">
        <v>-9</v>
      </c>
      <c r="AX563" s="439">
        <f>AY563</f>
        <v>0</v>
      </c>
      <c r="AY563" s="440"/>
      <c r="AZ563" s="439"/>
      <c r="BA563" s="439"/>
      <c r="BB563" s="439"/>
      <c r="BC563" s="439">
        <f>BD563</f>
        <v>0</v>
      </c>
      <c r="BD563" s="440"/>
      <c r="BE563" s="440"/>
      <c r="BF563" s="440"/>
      <c r="BG563" s="440"/>
      <c r="BH563" s="361"/>
    </row>
    <row r="564" spans="1:60" s="356" customFormat="1" hidden="1" outlineLevel="1" x14ac:dyDescent="0.25">
      <c r="A564" s="360" t="s">
        <v>229</v>
      </c>
      <c r="B564" s="450"/>
      <c r="C564" s="35">
        <v>-0.32200000000000001</v>
      </c>
      <c r="D564" s="35">
        <v>-0.315</v>
      </c>
      <c r="E564" s="35">
        <v>-0.41599999999999998</v>
      </c>
      <c r="F564" s="35">
        <v>-2.8319999999999999</v>
      </c>
      <c r="G564" s="361">
        <v>-14.218999999999999</v>
      </c>
      <c r="H564" s="361">
        <v>-3.6339999999999999</v>
      </c>
      <c r="I564" s="361">
        <v>-6.38</v>
      </c>
      <c r="J564" s="361">
        <f>K564</f>
        <v>-8.4250000000000007</v>
      </c>
      <c r="K564" s="35">
        <v>-8.4250000000000007</v>
      </c>
      <c r="L564" s="361">
        <v>-2.5449999999999999</v>
      </c>
      <c r="M564" s="361">
        <v>-5.6459999999999999</v>
      </c>
      <c r="N564" s="361">
        <v>-8.702</v>
      </c>
      <c r="O564" s="361">
        <f>P564</f>
        <v>-11.179</v>
      </c>
      <c r="P564" s="35">
        <v>-11.179</v>
      </c>
      <c r="Q564" s="361">
        <v>-3.726</v>
      </c>
      <c r="R564" s="361">
        <v>-13.901</v>
      </c>
      <c r="S564" s="361">
        <v>-72.906000000000006</v>
      </c>
      <c r="T564" s="361">
        <f>U564</f>
        <v>-203.78</v>
      </c>
      <c r="U564" s="35">
        <v>-203.78</v>
      </c>
      <c r="V564" s="361">
        <v>-8.1280000000000001</v>
      </c>
      <c r="W564" s="361">
        <v>-18.27</v>
      </c>
      <c r="X564" s="361">
        <v>-30.446999999999999</v>
      </c>
      <c r="Y564" s="361">
        <f>Z564</f>
        <v>-46.889000000000003</v>
      </c>
      <c r="Z564" s="35">
        <v>-46.889000000000003</v>
      </c>
      <c r="AA564" s="361">
        <v>-18.303000000000001</v>
      </c>
      <c r="AB564" s="439"/>
      <c r="AC564" s="361">
        <v>-69.495999999999995</v>
      </c>
      <c r="AD564" s="361">
        <f t="shared" si="540"/>
        <v>-103.304</v>
      </c>
      <c r="AE564" s="35">
        <v>-103.304</v>
      </c>
      <c r="AF564" s="361">
        <v>-18.786999999999999</v>
      </c>
      <c r="AG564" s="361">
        <v>-48.182000000000002</v>
      </c>
      <c r="AH564" s="361">
        <v>-105.867</v>
      </c>
      <c r="AI564" s="361">
        <f t="shared" si="541"/>
        <v>-180.80500000000001</v>
      </c>
      <c r="AJ564" s="35">
        <v>-180.80500000000001</v>
      </c>
      <c r="AK564" s="361">
        <v>-66.656000000000006</v>
      </c>
      <c r="AL564" s="361">
        <v>-142.571</v>
      </c>
      <c r="AM564" s="361">
        <v>-223</v>
      </c>
      <c r="AN564" s="361">
        <f t="shared" si="542"/>
        <v>-321</v>
      </c>
      <c r="AO564" s="35">
        <v>-321</v>
      </c>
      <c r="AP564" s="361">
        <v>-100</v>
      </c>
      <c r="AQ564" s="361">
        <v>-154</v>
      </c>
      <c r="AR564" s="361">
        <v>-248</v>
      </c>
      <c r="AS564" s="361">
        <f t="shared" si="543"/>
        <v>-338</v>
      </c>
      <c r="AT564" s="35">
        <v>-338</v>
      </c>
      <c r="AU564" s="439">
        <v>-101</v>
      </c>
      <c r="AV564" s="439">
        <v>-196</v>
      </c>
      <c r="AW564" s="726">
        <v>-311</v>
      </c>
      <c r="AX564" s="439">
        <f>AY564</f>
        <v>0</v>
      </c>
      <c r="AY564" s="440"/>
      <c r="AZ564" s="439"/>
      <c r="BA564" s="439"/>
      <c r="BB564" s="439"/>
      <c r="BC564" s="439">
        <f>BD564</f>
        <v>0</v>
      </c>
      <c r="BD564" s="440"/>
      <c r="BE564" s="440"/>
      <c r="BF564" s="440"/>
      <c r="BG564" s="440"/>
      <c r="BH564" s="361"/>
    </row>
    <row r="565" spans="1:60" s="356" customFormat="1" hidden="1" outlineLevel="1" x14ac:dyDescent="0.25">
      <c r="A565" s="360" t="s">
        <v>589</v>
      </c>
      <c r="B565" s="450"/>
      <c r="C565" s="440"/>
      <c r="D565" s="440"/>
      <c r="E565" s="440"/>
      <c r="F565" s="440"/>
      <c r="G565" s="439"/>
      <c r="H565" s="439"/>
      <c r="I565" s="439"/>
      <c r="J565" s="439"/>
      <c r="K565" s="440"/>
      <c r="L565" s="439"/>
      <c r="M565" s="439"/>
      <c r="N565" s="439"/>
      <c r="O565" s="439"/>
      <c r="P565" s="440"/>
      <c r="Q565" s="439"/>
      <c r="R565" s="439"/>
      <c r="S565" s="439"/>
      <c r="T565" s="439"/>
      <c r="U565" s="440"/>
      <c r="V565" s="439"/>
      <c r="W565" s="439"/>
      <c r="X565" s="439"/>
      <c r="Y565" s="439"/>
      <c r="Z565" s="440"/>
      <c r="AA565" s="439"/>
      <c r="AB565" s="439"/>
      <c r="AC565" s="439"/>
      <c r="AD565" s="439"/>
      <c r="AE565" s="440"/>
      <c r="AF565" s="439"/>
      <c r="AG565" s="439"/>
      <c r="AH565" s="439"/>
      <c r="AI565" s="439"/>
      <c r="AJ565" s="440"/>
      <c r="AK565" s="439"/>
      <c r="AL565" s="439"/>
      <c r="AM565" s="439"/>
      <c r="AN565" s="439"/>
      <c r="AO565" s="440"/>
      <c r="AP565" s="439"/>
      <c r="AQ565" s="439"/>
      <c r="AR565" s="439"/>
      <c r="AS565" s="439"/>
      <c r="AT565" s="440"/>
      <c r="AU565" s="439">
        <v>-5</v>
      </c>
      <c r="AV565" s="439">
        <v>-5</v>
      </c>
      <c r="AW565" s="726"/>
      <c r="AX565" s="439"/>
      <c r="AY565" s="440"/>
      <c r="AZ565" s="439"/>
      <c r="BA565" s="439"/>
      <c r="BB565" s="439"/>
      <c r="BC565" s="439"/>
      <c r="BD565" s="440"/>
      <c r="BE565" s="440"/>
      <c r="BF565" s="440"/>
      <c r="BG565" s="440"/>
      <c r="BH565" s="361"/>
    </row>
    <row r="566" spans="1:60" s="356" customFormat="1" hidden="1" outlineLevel="1" x14ac:dyDescent="0.25">
      <c r="A566" s="360" t="s">
        <v>230</v>
      </c>
      <c r="B566" s="450"/>
      <c r="C566" s="440"/>
      <c r="D566" s="440"/>
      <c r="E566" s="440"/>
      <c r="F566" s="440"/>
      <c r="G566" s="439"/>
      <c r="H566" s="439"/>
      <c r="I566" s="439"/>
      <c r="J566" s="439"/>
      <c r="K566" s="440"/>
      <c r="L566" s="439"/>
      <c r="M566" s="439"/>
      <c r="N566" s="439"/>
      <c r="O566" s="439"/>
      <c r="P566" s="440"/>
      <c r="Q566" s="439"/>
      <c r="R566" s="439"/>
      <c r="S566" s="439"/>
      <c r="T566" s="439"/>
      <c r="U566" s="440"/>
      <c r="V566" s="439"/>
      <c r="W566" s="439"/>
      <c r="X566" s="439"/>
      <c r="Y566" s="361">
        <f>Z566</f>
        <v>0</v>
      </c>
      <c r="Z566" s="440"/>
      <c r="AA566" s="439"/>
      <c r="AB566" s="439"/>
      <c r="AC566" s="439"/>
      <c r="AD566" s="361">
        <f t="shared" si="540"/>
        <v>0</v>
      </c>
      <c r="AE566" s="440"/>
      <c r="AF566" s="439"/>
      <c r="AG566" s="439"/>
      <c r="AH566" s="439"/>
      <c r="AI566" s="361">
        <f t="shared" si="541"/>
        <v>0</v>
      </c>
      <c r="AJ566" s="440"/>
      <c r="AK566" s="439"/>
      <c r="AL566" s="439"/>
      <c r="AM566" s="439"/>
      <c r="AN566" s="361">
        <f t="shared" si="542"/>
        <v>0</v>
      </c>
      <c r="AO566" s="440"/>
      <c r="AP566" s="439"/>
      <c r="AQ566" s="439"/>
      <c r="AR566" s="439"/>
      <c r="AS566" s="361">
        <f t="shared" si="543"/>
        <v>0</v>
      </c>
      <c r="AT566" s="440"/>
      <c r="AU566" s="439"/>
      <c r="AV566" s="439"/>
      <c r="AW566" s="726"/>
      <c r="AX566" s="439"/>
      <c r="AY566" s="440"/>
      <c r="AZ566" s="439"/>
      <c r="BA566" s="439"/>
      <c r="BB566" s="439"/>
      <c r="BC566" s="439"/>
      <c r="BD566" s="440"/>
      <c r="BE566" s="440"/>
      <c r="BF566" s="440"/>
      <c r="BG566" s="440"/>
      <c r="BH566" s="361"/>
    </row>
    <row r="567" spans="1:60" s="356" customFormat="1" hidden="1" outlineLevel="1" x14ac:dyDescent="0.25">
      <c r="A567" s="360" t="s">
        <v>231</v>
      </c>
      <c r="B567" s="450"/>
      <c r="C567" s="440"/>
      <c r="D567" s="440"/>
      <c r="E567" s="440"/>
      <c r="F567" s="440"/>
      <c r="G567" s="439"/>
      <c r="H567" s="439"/>
      <c r="I567" s="439"/>
      <c r="J567" s="439"/>
      <c r="K567" s="440"/>
      <c r="L567" s="439"/>
      <c r="M567" s="439"/>
      <c r="N567" s="439"/>
      <c r="O567" s="439"/>
      <c r="P567" s="440"/>
      <c r="Q567" s="439"/>
      <c r="R567" s="439"/>
      <c r="S567" s="439"/>
      <c r="T567" s="439"/>
      <c r="U567" s="440"/>
      <c r="V567" s="439"/>
      <c r="W567" s="439"/>
      <c r="X567" s="439"/>
      <c r="Y567" s="439"/>
      <c r="Z567" s="440"/>
      <c r="AA567" s="439"/>
      <c r="AB567" s="361">
        <v>583.43299999999999</v>
      </c>
      <c r="AC567" s="361">
        <v>691.91800000000001</v>
      </c>
      <c r="AD567" s="361">
        <f t="shared" si="540"/>
        <v>0</v>
      </c>
      <c r="AE567" s="440"/>
      <c r="AF567" s="439"/>
      <c r="AG567" s="361">
        <v>253.03700000000001</v>
      </c>
      <c r="AH567" s="361">
        <v>366.29700000000003</v>
      </c>
      <c r="AI567" s="361">
        <f t="shared" si="541"/>
        <v>437.13400000000001</v>
      </c>
      <c r="AJ567" s="35">
        <v>437.13400000000001</v>
      </c>
      <c r="AK567" s="439"/>
      <c r="AL567" s="361">
        <v>88.866</v>
      </c>
      <c r="AM567" s="361">
        <v>153</v>
      </c>
      <c r="AN567" s="361">
        <f t="shared" si="542"/>
        <v>279</v>
      </c>
      <c r="AO567" s="35">
        <v>279</v>
      </c>
      <c r="AP567" s="361">
        <v>19</v>
      </c>
      <c r="AQ567" s="361">
        <v>19</v>
      </c>
      <c r="AR567" s="361">
        <v>23</v>
      </c>
      <c r="AS567" s="361">
        <f t="shared" si="543"/>
        <v>24</v>
      </c>
      <c r="AT567" s="35">
        <v>24</v>
      </c>
      <c r="AU567" s="439"/>
      <c r="AV567" s="439">
        <v>2</v>
      </c>
      <c r="AW567" s="726">
        <v>2</v>
      </c>
      <c r="AX567" s="439"/>
      <c r="AY567" s="440"/>
      <c r="AZ567" s="439"/>
      <c r="BA567" s="439"/>
      <c r="BB567" s="439"/>
      <c r="BC567" s="439"/>
      <c r="BD567" s="440"/>
      <c r="BE567" s="440"/>
      <c r="BF567" s="440"/>
      <c r="BG567" s="440"/>
      <c r="BH567" s="361"/>
    </row>
    <row r="568" spans="1:60" s="356" customFormat="1" hidden="1" outlineLevel="1" x14ac:dyDescent="0.25">
      <c r="A568" s="360" t="s">
        <v>232</v>
      </c>
      <c r="B568" s="450"/>
      <c r="C568" s="440"/>
      <c r="D568" s="440"/>
      <c r="E568" s="440"/>
      <c r="F568" s="440"/>
      <c r="G568" s="439"/>
      <c r="H568" s="439"/>
      <c r="I568" s="439"/>
      <c r="J568" s="439"/>
      <c r="K568" s="440"/>
      <c r="L568" s="439"/>
      <c r="M568" s="439"/>
      <c r="N568" s="439"/>
      <c r="O568" s="439"/>
      <c r="P568" s="440"/>
      <c r="Q568" s="439"/>
      <c r="R568" s="439"/>
      <c r="S568" s="439"/>
      <c r="T568" s="439"/>
      <c r="U568" s="440"/>
      <c r="V568" s="439"/>
      <c r="W568" s="439"/>
      <c r="X568" s="439"/>
      <c r="Y568" s="439"/>
      <c r="Z568" s="440"/>
      <c r="AA568" s="439"/>
      <c r="AB568" s="439"/>
      <c r="AC568" s="439"/>
      <c r="AD568" s="361">
        <f t="shared" si="540"/>
        <v>-0.373</v>
      </c>
      <c r="AE568" s="35">
        <v>-0.373</v>
      </c>
      <c r="AF568" s="361">
        <v>-2.9209999999999998</v>
      </c>
      <c r="AG568" s="361">
        <v>-2.9209999999999998</v>
      </c>
      <c r="AH568" s="361">
        <v>-2.9209999999999998</v>
      </c>
      <c r="AI568" s="361">
        <f t="shared" si="541"/>
        <v>-5.9569999999999999</v>
      </c>
      <c r="AJ568" s="35">
        <v>-5.9569999999999999</v>
      </c>
      <c r="AK568" s="361">
        <v>-7.5890000000000004</v>
      </c>
      <c r="AL568" s="361">
        <v>-7.5890000000000004</v>
      </c>
      <c r="AM568" s="361">
        <v>-8</v>
      </c>
      <c r="AN568" s="361">
        <f t="shared" si="542"/>
        <v>-9</v>
      </c>
      <c r="AO568" s="35">
        <v>-9</v>
      </c>
      <c r="AP568" s="439"/>
      <c r="AQ568" s="361">
        <v>-2</v>
      </c>
      <c r="AR568" s="361">
        <v>-33</v>
      </c>
      <c r="AS568" s="361">
        <f t="shared" si="543"/>
        <v>-35</v>
      </c>
      <c r="AT568" s="35">
        <v>-35</v>
      </c>
      <c r="AU568" s="439"/>
      <c r="AV568" s="439"/>
      <c r="AW568" s="726"/>
      <c r="AX568" s="439"/>
      <c r="AY568" s="440"/>
      <c r="AZ568" s="439"/>
      <c r="BA568" s="439"/>
      <c r="BB568" s="439"/>
      <c r="BC568" s="439"/>
      <c r="BD568" s="440"/>
      <c r="BE568" s="440"/>
      <c r="BF568" s="440"/>
      <c r="BG568" s="440"/>
      <c r="BH568" s="361"/>
    </row>
    <row r="569" spans="1:60" s="356" customFormat="1" hidden="1" outlineLevel="1" x14ac:dyDescent="0.25">
      <c r="A569" s="360" t="s">
        <v>233</v>
      </c>
      <c r="B569" s="450"/>
      <c r="C569" s="440"/>
      <c r="D569" s="440"/>
      <c r="E569" s="440"/>
      <c r="F569" s="440"/>
      <c r="G569" s="439"/>
      <c r="H569" s="439"/>
      <c r="I569" s="439"/>
      <c r="J569" s="439"/>
      <c r="K569" s="440"/>
      <c r="L569" s="439"/>
      <c r="M569" s="439"/>
      <c r="N569" s="439"/>
      <c r="O569" s="439"/>
      <c r="P569" s="440"/>
      <c r="Q569" s="439"/>
      <c r="R569" s="439"/>
      <c r="S569" s="439"/>
      <c r="T569" s="439"/>
      <c r="U569" s="440"/>
      <c r="V569" s="439"/>
      <c r="W569" s="439"/>
      <c r="X569" s="439"/>
      <c r="Y569" s="439"/>
      <c r="Z569" s="440"/>
      <c r="AA569" s="361">
        <v>-63.695999999999998</v>
      </c>
      <c r="AB569" s="361">
        <v>-123.873</v>
      </c>
      <c r="AC569" s="361">
        <v>-190.715</v>
      </c>
      <c r="AD569" s="361">
        <f t="shared" si="540"/>
        <v>-261.84399999999999</v>
      </c>
      <c r="AE569" s="35">
        <v>-261.84399999999999</v>
      </c>
      <c r="AF569" s="361">
        <v>-52.942</v>
      </c>
      <c r="AG569" s="361">
        <v>-109.545</v>
      </c>
      <c r="AH569" s="361">
        <v>-178.511</v>
      </c>
      <c r="AI569" s="361">
        <f t="shared" si="541"/>
        <v>-227.304</v>
      </c>
      <c r="AJ569" s="35">
        <v>-227.304</v>
      </c>
      <c r="AK569" s="361">
        <v>-85.257000000000005</v>
      </c>
      <c r="AL569" s="361">
        <v>-148.75899999999999</v>
      </c>
      <c r="AM569" s="361">
        <v>-211</v>
      </c>
      <c r="AN569" s="361">
        <f t="shared" si="542"/>
        <v>-311</v>
      </c>
      <c r="AO569" s="35">
        <v>-311</v>
      </c>
      <c r="AP569" s="361">
        <v>-67</v>
      </c>
      <c r="AQ569" s="361">
        <v>-110</v>
      </c>
      <c r="AR569" s="361">
        <v>-163</v>
      </c>
      <c r="AS569" s="361">
        <f t="shared" si="543"/>
        <v>-208</v>
      </c>
      <c r="AT569" s="35">
        <v>-208</v>
      </c>
      <c r="AU569" s="439">
        <v>-32</v>
      </c>
      <c r="AV569" s="439">
        <v>-65</v>
      </c>
      <c r="AW569" s="726">
        <v>-108</v>
      </c>
      <c r="AX569" s="439"/>
      <c r="AY569" s="440"/>
      <c r="AZ569" s="439"/>
      <c r="BA569" s="439"/>
      <c r="BB569" s="439"/>
      <c r="BC569" s="439"/>
      <c r="BD569" s="440"/>
      <c r="BE569" s="440"/>
      <c r="BF569" s="440"/>
      <c r="BG569" s="440"/>
      <c r="BH569" s="361"/>
    </row>
    <row r="570" spans="1:60" s="356" customFormat="1" hidden="1" outlineLevel="1" x14ac:dyDescent="0.25">
      <c r="A570" s="533" t="s">
        <v>185</v>
      </c>
      <c r="B570" s="527"/>
      <c r="C570" s="479"/>
      <c r="D570" s="479"/>
      <c r="E570" s="479"/>
      <c r="F570" s="479"/>
      <c r="G570" s="459"/>
      <c r="H570" s="459"/>
      <c r="I570" s="459"/>
      <c r="J570" s="459"/>
      <c r="K570" s="479"/>
      <c r="L570" s="459"/>
      <c r="M570" s="459"/>
      <c r="N570" s="459"/>
      <c r="O570" s="459"/>
      <c r="P570" s="479"/>
      <c r="Q570" s="459"/>
      <c r="R570" s="459"/>
      <c r="S570" s="459"/>
      <c r="T570" s="459"/>
      <c r="U570" s="479"/>
      <c r="V570" s="459"/>
      <c r="W570" s="459"/>
      <c r="X570" s="459"/>
      <c r="Y570" s="459"/>
      <c r="Z570" s="479"/>
      <c r="AA570" s="459"/>
      <c r="AB570" s="459"/>
      <c r="AC570" s="459"/>
      <c r="AD570" s="459"/>
      <c r="AE570" s="479"/>
      <c r="AF570" s="459"/>
      <c r="AG570" s="459"/>
      <c r="AH570" s="459"/>
      <c r="AI570" s="459"/>
      <c r="AJ570" s="479"/>
      <c r="AK570" s="459"/>
      <c r="AL570" s="459"/>
      <c r="AM570" s="459"/>
      <c r="AN570" s="262">
        <f t="shared" si="542"/>
        <v>0</v>
      </c>
      <c r="AO570" s="479"/>
      <c r="AP570" s="459"/>
      <c r="AQ570" s="459"/>
      <c r="AR570" s="459"/>
      <c r="AS570" s="262">
        <f t="shared" si="543"/>
        <v>0</v>
      </c>
      <c r="AT570" s="479"/>
      <c r="AU570" s="459"/>
      <c r="AV570" s="459"/>
      <c r="AW570" s="723"/>
      <c r="AX570" s="459"/>
      <c r="AY570" s="479"/>
      <c r="AZ570" s="459"/>
      <c r="BA570" s="459"/>
      <c r="BB570" s="459"/>
      <c r="BC570" s="459"/>
      <c r="BD570" s="479"/>
      <c r="BE570" s="479"/>
      <c r="BF570" s="479"/>
      <c r="BG570" s="479"/>
      <c r="BH570" s="361"/>
    </row>
    <row r="571" spans="1:60" s="116" customFormat="1" hidden="1" outlineLevel="1" x14ac:dyDescent="0.25">
      <c r="A571" s="86" t="s">
        <v>234</v>
      </c>
      <c r="B571" s="529"/>
      <c r="C571" s="29">
        <f t="shared" ref="C571:AH571" si="544">SUM(C544:C570)</f>
        <v>155.41900000000001</v>
      </c>
      <c r="D571" s="29">
        <f t="shared" si="544"/>
        <v>337.97100000000006</v>
      </c>
      <c r="E571" s="29">
        <f t="shared" si="544"/>
        <v>445.99999999999994</v>
      </c>
      <c r="F571" s="29">
        <f t="shared" si="544"/>
        <v>419.63500000000005</v>
      </c>
      <c r="G571" s="30">
        <f t="shared" si="544"/>
        <v>3.6839999999999993</v>
      </c>
      <c r="H571" s="30">
        <f t="shared" si="544"/>
        <v>600.69099999999992</v>
      </c>
      <c r="I571" s="30">
        <f t="shared" si="544"/>
        <v>624.90600000000006</v>
      </c>
      <c r="J571" s="30">
        <f t="shared" si="544"/>
        <v>635.42200000000014</v>
      </c>
      <c r="K571" s="29">
        <f t="shared" si="544"/>
        <v>635.42200000000014</v>
      </c>
      <c r="L571" s="30">
        <f t="shared" si="544"/>
        <v>1816.5590000000002</v>
      </c>
      <c r="M571" s="30">
        <f t="shared" si="544"/>
        <v>2098.0509999999995</v>
      </c>
      <c r="N571" s="30">
        <f t="shared" si="544"/>
        <v>2131.8049999999998</v>
      </c>
      <c r="O571" s="30">
        <f t="shared" si="544"/>
        <v>2143.13</v>
      </c>
      <c r="P571" s="29">
        <f t="shared" si="544"/>
        <v>2143.13</v>
      </c>
      <c r="Q571" s="30">
        <f t="shared" si="544"/>
        <v>186.15600000000003</v>
      </c>
      <c r="R571" s="30">
        <f t="shared" si="544"/>
        <v>404.50700000000001</v>
      </c>
      <c r="S571" s="30">
        <f t="shared" si="544"/>
        <v>1298.4850000000001</v>
      </c>
      <c r="T571" s="30">
        <f t="shared" si="544"/>
        <v>1523.5230000000001</v>
      </c>
      <c r="U571" s="29">
        <f t="shared" si="544"/>
        <v>1523.5230000000001</v>
      </c>
      <c r="V571" s="30">
        <f t="shared" si="544"/>
        <v>715.43499999999995</v>
      </c>
      <c r="W571" s="31">
        <f t="shared" si="544"/>
        <v>2692.0190000000002</v>
      </c>
      <c r="X571" s="31">
        <f t="shared" si="544"/>
        <v>2371.1489999999994</v>
      </c>
      <c r="Y571" s="30">
        <f t="shared" si="544"/>
        <v>3743.9759999999992</v>
      </c>
      <c r="Z571" s="29">
        <f t="shared" si="544"/>
        <v>3743.9759999999992</v>
      </c>
      <c r="AA571" s="30">
        <f t="shared" si="544"/>
        <v>1598.7489999999996</v>
      </c>
      <c r="AB571" s="31">
        <f t="shared" si="544"/>
        <v>2027.5160000000001</v>
      </c>
      <c r="AC571" s="31">
        <f t="shared" si="544"/>
        <v>4129.0219999999999</v>
      </c>
      <c r="AD571" s="30">
        <f t="shared" si="544"/>
        <v>4414.8639999999987</v>
      </c>
      <c r="AE571" s="29">
        <f t="shared" si="544"/>
        <v>4414.8639999999987</v>
      </c>
      <c r="AF571" s="30">
        <f t="shared" si="544"/>
        <v>371.6600000000002</v>
      </c>
      <c r="AG571" s="31">
        <f t="shared" si="544"/>
        <v>770.28199999999993</v>
      </c>
      <c r="AH571" s="31">
        <f t="shared" si="544"/>
        <v>686.0639999999994</v>
      </c>
      <c r="AI571" s="30">
        <f t="shared" ref="AI571:AY571" si="545">SUM(AI544:AI570)</f>
        <v>573.75499999999965</v>
      </c>
      <c r="AJ571" s="29">
        <f t="shared" si="545"/>
        <v>573.75499999999965</v>
      </c>
      <c r="AK571" s="30">
        <f t="shared" si="545"/>
        <v>-653.01900000000001</v>
      </c>
      <c r="AL571" s="31">
        <f t="shared" si="545"/>
        <v>1489.8219999999994</v>
      </c>
      <c r="AM571" s="31">
        <f t="shared" si="545"/>
        <v>1608</v>
      </c>
      <c r="AN571" s="30">
        <f t="shared" si="545"/>
        <v>1529</v>
      </c>
      <c r="AO571" s="29">
        <f t="shared" si="545"/>
        <v>1529</v>
      </c>
      <c r="AP571" s="30">
        <f t="shared" si="545"/>
        <v>2708</v>
      </c>
      <c r="AQ571" s="31">
        <f t="shared" si="545"/>
        <v>2831</v>
      </c>
      <c r="AR571" s="31">
        <f>SUM(AR544:AR570)</f>
        <v>7281</v>
      </c>
      <c r="AS571" s="30">
        <f>SUM(AS544:AS570)</f>
        <v>9973</v>
      </c>
      <c r="AT571" s="29">
        <f>SUM(AT544:AT570)</f>
        <v>9973</v>
      </c>
      <c r="AU571" s="30">
        <f t="shared" ref="AU571:AW571" si="546">SUM(AU544:AU570)</f>
        <v>-1016</v>
      </c>
      <c r="AV571" s="31">
        <f t="shared" si="546"/>
        <v>-2565</v>
      </c>
      <c r="AW571" s="795">
        <f t="shared" si="546"/>
        <v>-3946</v>
      </c>
      <c r="AX571" s="44">
        <f t="shared" si="545"/>
        <v>0</v>
      </c>
      <c r="AY571" s="45">
        <f t="shared" si="545"/>
        <v>0</v>
      </c>
      <c r="AZ571" s="44">
        <f t="shared" ref="AZ571:BG571" si="547">SUM(AZ544:AZ570)</f>
        <v>0</v>
      </c>
      <c r="BA571" s="44">
        <f t="shared" si="547"/>
        <v>0</v>
      </c>
      <c r="BB571" s="44">
        <f t="shared" si="547"/>
        <v>0</v>
      </c>
      <c r="BC571" s="44">
        <f t="shared" si="547"/>
        <v>0</v>
      </c>
      <c r="BD571" s="45">
        <f t="shared" si="547"/>
        <v>0</v>
      </c>
      <c r="BE571" s="45">
        <f t="shared" si="547"/>
        <v>0</v>
      </c>
      <c r="BF571" s="45">
        <f t="shared" si="547"/>
        <v>0</v>
      </c>
      <c r="BG571" s="45">
        <f t="shared" si="547"/>
        <v>0</v>
      </c>
      <c r="BH571" s="368"/>
    </row>
    <row r="572" spans="1:60" s="116" customFormat="1" hidden="1" outlineLevel="1" x14ac:dyDescent="0.25">
      <c r="A572" s="530"/>
      <c r="B572" s="531"/>
      <c r="C572" s="438"/>
      <c r="D572" s="438"/>
      <c r="E572" s="438"/>
      <c r="F572" s="438"/>
      <c r="G572" s="437"/>
      <c r="H572" s="437"/>
      <c r="I572" s="437"/>
      <c r="J572" s="437"/>
      <c r="K572" s="438"/>
      <c r="L572" s="437"/>
      <c r="M572" s="437"/>
      <c r="N572" s="437"/>
      <c r="O572" s="437"/>
      <c r="P572" s="438"/>
      <c r="Q572" s="437"/>
      <c r="R572" s="437"/>
      <c r="S572" s="437"/>
      <c r="T572" s="437"/>
      <c r="U572" s="438"/>
      <c r="V572" s="437"/>
      <c r="W572" s="437"/>
      <c r="X572" s="437"/>
      <c r="Y572" s="437"/>
      <c r="Z572" s="438"/>
      <c r="AA572" s="437"/>
      <c r="AB572" s="437"/>
      <c r="AC572" s="437"/>
      <c r="AD572" s="437"/>
      <c r="AE572" s="438"/>
      <c r="AF572" s="437"/>
      <c r="AG572" s="437"/>
      <c r="AH572" s="437"/>
      <c r="AI572" s="437"/>
      <c r="AJ572" s="438"/>
      <c r="AK572" s="437"/>
      <c r="AL572" s="437"/>
      <c r="AM572" s="437"/>
      <c r="AN572" s="437"/>
      <c r="AO572" s="438"/>
      <c r="AP572" s="437"/>
      <c r="AQ572" s="437"/>
      <c r="AR572" s="437"/>
      <c r="AS572" s="437"/>
      <c r="AT572" s="438"/>
      <c r="AU572" s="437"/>
      <c r="AV572" s="437"/>
      <c r="AW572" s="725"/>
      <c r="AX572" s="437"/>
      <c r="AY572" s="438"/>
      <c r="AZ572" s="437"/>
      <c r="BA572" s="437"/>
      <c r="BB572" s="437"/>
      <c r="BC572" s="437"/>
      <c r="BD572" s="438"/>
      <c r="BE572" s="438"/>
      <c r="BF572" s="438"/>
      <c r="BG572" s="438"/>
      <c r="BH572" s="368"/>
    </row>
    <row r="573" spans="1:60" s="116" customFormat="1" hidden="1" outlineLevel="1" x14ac:dyDescent="0.25">
      <c r="A573" s="436" t="s">
        <v>235</v>
      </c>
      <c r="B573" s="531"/>
      <c r="C573" s="438"/>
      <c r="D573" s="438"/>
      <c r="E573" s="438"/>
      <c r="F573" s="438"/>
      <c r="G573" s="437"/>
      <c r="H573" s="368">
        <v>-2.895</v>
      </c>
      <c r="I573" s="368">
        <v>-2.585</v>
      </c>
      <c r="J573" s="368">
        <f>K573</f>
        <v>-6.81</v>
      </c>
      <c r="K573" s="33">
        <v>-6.81</v>
      </c>
      <c r="L573" s="368">
        <v>1.917</v>
      </c>
      <c r="M573" s="368">
        <v>0.47899999999999998</v>
      </c>
      <c r="N573" s="368">
        <v>-17.811</v>
      </c>
      <c r="O573" s="368">
        <f>P573</f>
        <v>-35.524999999999999</v>
      </c>
      <c r="P573" s="33">
        <v>-35.524999999999999</v>
      </c>
      <c r="Q573" s="368">
        <v>-17.655000000000001</v>
      </c>
      <c r="R573" s="368">
        <v>-13.055999999999999</v>
      </c>
      <c r="S573" s="368">
        <v>-24.241</v>
      </c>
      <c r="T573" s="368">
        <f>U573</f>
        <v>-34.277999999999999</v>
      </c>
      <c r="U573" s="33">
        <v>-34.277999999999999</v>
      </c>
      <c r="V573" s="368">
        <v>12.87</v>
      </c>
      <c r="W573" s="34">
        <v>10.316000000000001</v>
      </c>
      <c r="X573" s="34">
        <v>13.499000000000001</v>
      </c>
      <c r="Y573" s="368">
        <f>Z573</f>
        <v>-7.4089999999999998</v>
      </c>
      <c r="Z573" s="33">
        <v>-7.4089999999999998</v>
      </c>
      <c r="AA573" s="368">
        <v>11.382</v>
      </c>
      <c r="AB573" s="34">
        <v>27.334</v>
      </c>
      <c r="AC573" s="34">
        <v>35.427999999999997</v>
      </c>
      <c r="AD573" s="368">
        <f>AE573</f>
        <v>39.454999999999998</v>
      </c>
      <c r="AE573" s="33">
        <v>39.454999999999998</v>
      </c>
      <c r="AF573" s="368">
        <v>10.102</v>
      </c>
      <c r="AG573" s="34">
        <v>-12.509</v>
      </c>
      <c r="AH573" s="34">
        <v>-18.879000000000001</v>
      </c>
      <c r="AI573" s="368">
        <f>AJ573</f>
        <v>-22.7</v>
      </c>
      <c r="AJ573" s="33">
        <v>-22.7</v>
      </c>
      <c r="AK573" s="368">
        <v>4.8780000000000001</v>
      </c>
      <c r="AL573" s="34">
        <v>5.4710000000000001</v>
      </c>
      <c r="AM573" s="34">
        <v>-6</v>
      </c>
      <c r="AN573" s="368">
        <f>AO573</f>
        <v>8</v>
      </c>
      <c r="AO573" s="33">
        <v>8</v>
      </c>
      <c r="AP573" s="368">
        <v>-24</v>
      </c>
      <c r="AQ573" s="34">
        <v>14</v>
      </c>
      <c r="AR573" s="34">
        <v>100</v>
      </c>
      <c r="AS573" s="368">
        <f>AT573</f>
        <v>334</v>
      </c>
      <c r="AT573" s="33">
        <f>+AR573+234</f>
        <v>334</v>
      </c>
      <c r="AU573" s="368">
        <v>-221</v>
      </c>
      <c r="AV573" s="34">
        <v>-179</v>
      </c>
      <c r="AW573" s="793">
        <v>-221</v>
      </c>
      <c r="AX573" s="437">
        <f>AY573</f>
        <v>0</v>
      </c>
      <c r="AY573" s="438"/>
      <c r="AZ573" s="437"/>
      <c r="BA573" s="437"/>
      <c r="BB573" s="437"/>
      <c r="BC573" s="437">
        <f>BD573</f>
        <v>0</v>
      </c>
      <c r="BD573" s="438"/>
      <c r="BE573" s="438"/>
      <c r="BF573" s="438"/>
      <c r="BG573" s="438"/>
      <c r="BH573" s="368"/>
    </row>
    <row r="574" spans="1:60" s="116" customFormat="1" hidden="1" outlineLevel="1" x14ac:dyDescent="0.25">
      <c r="A574" s="436" t="s">
        <v>236</v>
      </c>
      <c r="B574" s="531"/>
      <c r="C574" s="33">
        <f t="shared" ref="C574:AH574" si="548">C571+C541+C526+C573</f>
        <v>60.349999999999994</v>
      </c>
      <c r="D574" s="33">
        <f t="shared" si="548"/>
        <v>29.931000000000054</v>
      </c>
      <c r="E574" s="33">
        <f t="shared" si="548"/>
        <v>155.708</v>
      </c>
      <c r="F574" s="33">
        <f t="shared" si="548"/>
        <v>-53.376000000000033</v>
      </c>
      <c r="G574" s="368">
        <f t="shared" si="548"/>
        <v>12.527000000000008</v>
      </c>
      <c r="H574" s="368">
        <f t="shared" si="548"/>
        <v>544.16699999999992</v>
      </c>
      <c r="I574" s="368">
        <f t="shared" si="548"/>
        <v>593.226</v>
      </c>
      <c r="J574" s="368">
        <f t="shared" si="548"/>
        <v>643.99900000000025</v>
      </c>
      <c r="K574" s="33">
        <f t="shared" si="548"/>
        <v>643.99900000000025</v>
      </c>
      <c r="L574" s="368">
        <f t="shared" si="548"/>
        <v>1548.019</v>
      </c>
      <c r="M574" s="368">
        <f t="shared" si="548"/>
        <v>1829.0209999999995</v>
      </c>
      <c r="N574" s="368">
        <f t="shared" si="548"/>
        <v>1524.8459999999998</v>
      </c>
      <c r="O574" s="368">
        <f t="shared" si="548"/>
        <v>1059.8240000000003</v>
      </c>
      <c r="P574" s="33">
        <f t="shared" si="548"/>
        <v>1059.8240000000003</v>
      </c>
      <c r="Q574" s="368">
        <f t="shared" si="548"/>
        <v>-395.63700000000006</v>
      </c>
      <c r="R574" s="368">
        <f t="shared" si="548"/>
        <v>-755.04000000000019</v>
      </c>
      <c r="S574" s="368">
        <f t="shared" si="548"/>
        <v>-479.67699999999985</v>
      </c>
      <c r="T574" s="368">
        <f t="shared" si="548"/>
        <v>-708.80499999999984</v>
      </c>
      <c r="U574" s="33">
        <f t="shared" si="548"/>
        <v>-708.80499999999984</v>
      </c>
      <c r="V574" s="368">
        <f t="shared" si="548"/>
        <v>244.88099999999989</v>
      </c>
      <c r="W574" s="34">
        <f t="shared" si="548"/>
        <v>2049.3930000000005</v>
      </c>
      <c r="X574" s="34">
        <f t="shared" si="548"/>
        <v>1887.3489999999995</v>
      </c>
      <c r="Y574" s="368">
        <f t="shared" si="548"/>
        <v>2196.3079999999991</v>
      </c>
      <c r="Z574" s="33">
        <f t="shared" si="548"/>
        <v>2196.3079999999991</v>
      </c>
      <c r="AA574" s="368">
        <f t="shared" si="548"/>
        <v>613.37699999999938</v>
      </c>
      <c r="AB574" s="34">
        <f t="shared" si="548"/>
        <v>-357.2920000000002</v>
      </c>
      <c r="AC574" s="34">
        <f t="shared" si="548"/>
        <v>136.81399999999962</v>
      </c>
      <c r="AD574" s="368">
        <f t="shared" si="548"/>
        <v>-25.30200000000093</v>
      </c>
      <c r="AE574" s="33">
        <f t="shared" si="548"/>
        <v>-25.30200000000093</v>
      </c>
      <c r="AF574" s="368">
        <f t="shared" si="548"/>
        <v>-745.25099999999986</v>
      </c>
      <c r="AG574" s="34">
        <f t="shared" si="548"/>
        <v>-1181.721</v>
      </c>
      <c r="AH574" s="34">
        <f t="shared" si="548"/>
        <v>-441.99300000000108</v>
      </c>
      <c r="AI574" s="368">
        <f t="shared" ref="AI574:AY574" si="549">AI571+AI541+AI526+AI573</f>
        <v>311.42899999999946</v>
      </c>
      <c r="AJ574" s="33">
        <f t="shared" si="549"/>
        <v>311.42899999999946</v>
      </c>
      <c r="AK574" s="368">
        <f t="shared" si="549"/>
        <v>-1593.5900000000004</v>
      </c>
      <c r="AL574" s="34">
        <f t="shared" si="549"/>
        <v>1171.9049999999995</v>
      </c>
      <c r="AM574" s="34">
        <f t="shared" si="549"/>
        <v>1549</v>
      </c>
      <c r="AN574" s="368">
        <f t="shared" si="549"/>
        <v>2506</v>
      </c>
      <c r="AO574" s="33">
        <f t="shared" si="549"/>
        <v>2506</v>
      </c>
      <c r="AP574" s="368">
        <f t="shared" si="549"/>
        <v>1764</v>
      </c>
      <c r="AQ574" s="34">
        <f t="shared" si="549"/>
        <v>2323</v>
      </c>
      <c r="AR574" s="34">
        <f t="shared" ref="AR574" si="550">AR571+AR541+AR526+AR573</f>
        <v>8220</v>
      </c>
      <c r="AS574" s="368">
        <f>AS571+AS541+AS526+AS573</f>
        <v>13118</v>
      </c>
      <c r="AT574" s="33">
        <f>AT571+AT541+AT526+AT573</f>
        <v>13118</v>
      </c>
      <c r="AU574" s="368">
        <f t="shared" ref="AU574:AW574" si="551">AU571+AU541+AU526+AU573</f>
        <v>-2178</v>
      </c>
      <c r="AV574" s="34">
        <f t="shared" si="551"/>
        <v>-3076</v>
      </c>
      <c r="AW574" s="793">
        <f t="shared" si="551"/>
        <v>-3207</v>
      </c>
      <c r="AX574" s="437">
        <f t="shared" si="549"/>
        <v>0</v>
      </c>
      <c r="AY574" s="438">
        <f t="shared" si="549"/>
        <v>0</v>
      </c>
      <c r="AZ574" s="437">
        <f t="shared" ref="AZ574:BG574" si="552">AZ571+AZ541+AZ526+AZ573</f>
        <v>0</v>
      </c>
      <c r="BA574" s="437">
        <f t="shared" si="552"/>
        <v>0</v>
      </c>
      <c r="BB574" s="437">
        <f t="shared" si="552"/>
        <v>0</v>
      </c>
      <c r="BC574" s="437">
        <f t="shared" si="552"/>
        <v>0</v>
      </c>
      <c r="BD574" s="438">
        <f t="shared" si="552"/>
        <v>0</v>
      </c>
      <c r="BE574" s="438">
        <f t="shared" si="552"/>
        <v>0</v>
      </c>
      <c r="BF574" s="438">
        <f t="shared" si="552"/>
        <v>0</v>
      </c>
      <c r="BG574" s="438">
        <f t="shared" si="552"/>
        <v>0</v>
      </c>
      <c r="BH574" s="368"/>
    </row>
    <row r="575" spans="1:60" s="116" customFormat="1" hidden="1" outlineLevel="1" x14ac:dyDescent="0.25">
      <c r="A575" s="530"/>
      <c r="B575" s="531"/>
      <c r="C575" s="438"/>
      <c r="D575" s="438"/>
      <c r="E575" s="438"/>
      <c r="F575" s="438"/>
      <c r="G575" s="437"/>
      <c r="H575" s="437"/>
      <c r="I575" s="437"/>
      <c r="J575" s="437"/>
      <c r="K575" s="438"/>
      <c r="L575" s="437"/>
      <c r="M575" s="437"/>
      <c r="N575" s="437"/>
      <c r="O575" s="437"/>
      <c r="P575" s="438"/>
      <c r="Q575" s="437"/>
      <c r="R575" s="437"/>
      <c r="S575" s="437"/>
      <c r="T575" s="437"/>
      <c r="U575" s="438"/>
      <c r="V575" s="437"/>
      <c r="W575" s="437"/>
      <c r="X575" s="437"/>
      <c r="Y575" s="437"/>
      <c r="Z575" s="438"/>
      <c r="AA575" s="437"/>
      <c r="AB575" s="437"/>
      <c r="AC575" s="437"/>
      <c r="AD575" s="437"/>
      <c r="AE575" s="438"/>
      <c r="AF575" s="437"/>
      <c r="AG575" s="437"/>
      <c r="AH575" s="437"/>
      <c r="AI575" s="437"/>
      <c r="AJ575" s="438"/>
      <c r="AK575" s="437"/>
      <c r="AL575" s="437"/>
      <c r="AM575" s="437"/>
      <c r="AN575" s="437"/>
      <c r="AO575" s="438"/>
      <c r="AP575" s="437"/>
      <c r="AQ575" s="437"/>
      <c r="AR575" s="437"/>
      <c r="AS575" s="437"/>
      <c r="AT575" s="438"/>
      <c r="AU575" s="437"/>
      <c r="AV575" s="437"/>
      <c r="AW575" s="725"/>
      <c r="AX575" s="437"/>
      <c r="AY575" s="438"/>
      <c r="AZ575" s="437"/>
      <c r="BA575" s="437"/>
      <c r="BB575" s="437"/>
      <c r="BC575" s="437"/>
      <c r="BD575" s="438"/>
      <c r="BE575" s="438"/>
      <c r="BF575" s="438"/>
      <c r="BG575" s="438"/>
      <c r="BH575" s="368"/>
    </row>
    <row r="576" spans="1:60" s="116" customFormat="1" hidden="1" outlineLevel="1" x14ac:dyDescent="0.25">
      <c r="A576" s="436" t="s">
        <v>237</v>
      </c>
      <c r="B576" s="531"/>
      <c r="C576" s="33">
        <v>9.2769999999999992</v>
      </c>
      <c r="D576" s="33">
        <f>C577</f>
        <v>69.626999999999995</v>
      </c>
      <c r="E576" s="33">
        <f>D577</f>
        <v>99.55800000000005</v>
      </c>
      <c r="F576" s="33">
        <f>E577</f>
        <v>255.26600000000005</v>
      </c>
      <c r="G576" s="368">
        <f>F577</f>
        <v>201.89000000000001</v>
      </c>
      <c r="H576" s="368">
        <f>G576</f>
        <v>201.89000000000001</v>
      </c>
      <c r="I576" s="368">
        <f>H576</f>
        <v>201.89000000000001</v>
      </c>
      <c r="J576" s="368">
        <f>I576</f>
        <v>201.89000000000001</v>
      </c>
      <c r="K576" s="33">
        <f>J576</f>
        <v>201.89000000000001</v>
      </c>
      <c r="L576" s="368">
        <f>K577</f>
        <v>845.88900000000024</v>
      </c>
      <c r="M576" s="368">
        <f>L576</f>
        <v>845.88900000000024</v>
      </c>
      <c r="N576" s="368">
        <f>M576</f>
        <v>845.88900000000024</v>
      </c>
      <c r="O576" s="368">
        <f>N576</f>
        <v>845.88900000000024</v>
      </c>
      <c r="P576" s="33">
        <f>O576</f>
        <v>845.88900000000024</v>
      </c>
      <c r="Q576" s="368">
        <f>P577</f>
        <v>1905.7130000000006</v>
      </c>
      <c r="R576" s="368">
        <f>Q576</f>
        <v>1905.7130000000006</v>
      </c>
      <c r="S576" s="368">
        <f>R576</f>
        <v>1905.7130000000006</v>
      </c>
      <c r="T576" s="368">
        <f>S576</f>
        <v>1905.7130000000006</v>
      </c>
      <c r="U576" s="33">
        <f>T576</f>
        <v>1905.7130000000006</v>
      </c>
      <c r="V576" s="368">
        <f>U577</f>
        <v>1196.9080000000008</v>
      </c>
      <c r="W576" s="34">
        <f>V576</f>
        <v>1196.9080000000008</v>
      </c>
      <c r="X576" s="34">
        <f>W576</f>
        <v>1196.9080000000008</v>
      </c>
      <c r="Y576" s="368">
        <f>X576</f>
        <v>1196.9080000000008</v>
      </c>
      <c r="Z576" s="33">
        <f>Y576</f>
        <v>1196.9080000000008</v>
      </c>
      <c r="AA576" s="368">
        <f>Z577</f>
        <v>3393.2159999999999</v>
      </c>
      <c r="AB576" s="34">
        <f>AA576</f>
        <v>3393.2159999999999</v>
      </c>
      <c r="AC576" s="34">
        <f>AB576</f>
        <v>3393.2159999999999</v>
      </c>
      <c r="AD576" s="368">
        <f>AC576</f>
        <v>3393.2159999999999</v>
      </c>
      <c r="AE576" s="33">
        <f>AD576</f>
        <v>3393.2159999999999</v>
      </c>
      <c r="AF576" s="368">
        <v>3964.9589999999998</v>
      </c>
      <c r="AG576" s="34">
        <f>AF576</f>
        <v>3964.9589999999998</v>
      </c>
      <c r="AH576" s="34">
        <f>AG576</f>
        <v>3964.9589999999998</v>
      </c>
      <c r="AI576" s="368">
        <f>AH576</f>
        <v>3964.9589999999998</v>
      </c>
      <c r="AJ576" s="33">
        <f>AI576</f>
        <v>3964.9589999999998</v>
      </c>
      <c r="AK576" s="368">
        <f>AJ577</f>
        <v>4276.387999999999</v>
      </c>
      <c r="AL576" s="34">
        <f>AK576</f>
        <v>4276.387999999999</v>
      </c>
      <c r="AM576" s="34">
        <v>4277</v>
      </c>
      <c r="AN576" s="368">
        <f>AM576</f>
        <v>4277</v>
      </c>
      <c r="AO576" s="33">
        <f>AN576</f>
        <v>4277</v>
      </c>
      <c r="AP576" s="368">
        <f>AO577</f>
        <v>6783</v>
      </c>
      <c r="AQ576" s="34">
        <f>AP576</f>
        <v>6783</v>
      </c>
      <c r="AR576" s="34">
        <f>AQ576</f>
        <v>6783</v>
      </c>
      <c r="AS576" s="368">
        <f>AR576</f>
        <v>6783</v>
      </c>
      <c r="AT576" s="33">
        <f>AS576</f>
        <v>6783</v>
      </c>
      <c r="AU576" s="368">
        <f>AT577</f>
        <v>19901</v>
      </c>
      <c r="AV576" s="34">
        <f>AU576</f>
        <v>19901</v>
      </c>
      <c r="AW576" s="793">
        <f>AV576</f>
        <v>19901</v>
      </c>
      <c r="AX576" s="437"/>
      <c r="AY576" s="438"/>
      <c r="AZ576" s="437"/>
      <c r="BA576" s="437"/>
      <c r="BB576" s="437"/>
      <c r="BC576" s="437"/>
      <c r="BD576" s="438"/>
      <c r="BE576" s="438"/>
      <c r="BF576" s="438"/>
      <c r="BG576" s="438"/>
      <c r="BH576" s="368"/>
    </row>
    <row r="577" spans="1:60" s="116" customFormat="1" hidden="1" outlineLevel="1" x14ac:dyDescent="0.25">
      <c r="A577" s="436" t="s">
        <v>238</v>
      </c>
      <c r="B577" s="531"/>
      <c r="C577" s="33">
        <f t="shared" ref="C577:AQ577" si="553">C574+C576</f>
        <v>69.626999999999995</v>
      </c>
      <c r="D577" s="33">
        <f t="shared" si="553"/>
        <v>99.55800000000005</v>
      </c>
      <c r="E577" s="33">
        <f t="shared" si="553"/>
        <v>255.26600000000005</v>
      </c>
      <c r="F577" s="33">
        <f t="shared" si="553"/>
        <v>201.89000000000001</v>
      </c>
      <c r="G577" s="368">
        <f t="shared" si="553"/>
        <v>214.41700000000003</v>
      </c>
      <c r="H577" s="368">
        <f t="shared" si="553"/>
        <v>746.0569999999999</v>
      </c>
      <c r="I577" s="368">
        <f t="shared" si="553"/>
        <v>795.11599999999999</v>
      </c>
      <c r="J577" s="368">
        <f t="shared" si="553"/>
        <v>845.88900000000024</v>
      </c>
      <c r="K577" s="33">
        <f t="shared" si="553"/>
        <v>845.88900000000024</v>
      </c>
      <c r="L577" s="368">
        <f t="shared" si="553"/>
        <v>2393.9080000000004</v>
      </c>
      <c r="M577" s="368">
        <f t="shared" si="553"/>
        <v>2674.91</v>
      </c>
      <c r="N577" s="368">
        <f t="shared" si="553"/>
        <v>2370.7350000000001</v>
      </c>
      <c r="O577" s="368">
        <f t="shared" si="553"/>
        <v>1905.7130000000006</v>
      </c>
      <c r="P577" s="33">
        <f t="shared" si="553"/>
        <v>1905.7130000000006</v>
      </c>
      <c r="Q577" s="368">
        <f t="shared" si="553"/>
        <v>1510.0760000000005</v>
      </c>
      <c r="R577" s="368">
        <f t="shared" si="553"/>
        <v>1150.6730000000005</v>
      </c>
      <c r="S577" s="368">
        <f t="shared" si="553"/>
        <v>1426.0360000000007</v>
      </c>
      <c r="T577" s="368">
        <f t="shared" si="553"/>
        <v>1196.9080000000008</v>
      </c>
      <c r="U577" s="33">
        <f t="shared" si="553"/>
        <v>1196.9080000000008</v>
      </c>
      <c r="V577" s="368">
        <f t="shared" si="553"/>
        <v>1441.7890000000007</v>
      </c>
      <c r="W577" s="34">
        <f t="shared" si="553"/>
        <v>3246.3010000000013</v>
      </c>
      <c r="X577" s="34">
        <f t="shared" si="553"/>
        <v>3084.2570000000005</v>
      </c>
      <c r="Y577" s="368">
        <f t="shared" si="553"/>
        <v>3393.2159999999999</v>
      </c>
      <c r="Z577" s="33">
        <f t="shared" si="553"/>
        <v>3393.2159999999999</v>
      </c>
      <c r="AA577" s="368">
        <f t="shared" si="553"/>
        <v>4006.5929999999994</v>
      </c>
      <c r="AB577" s="34">
        <f t="shared" si="553"/>
        <v>3035.9239999999995</v>
      </c>
      <c r="AC577" s="34">
        <f t="shared" si="553"/>
        <v>3530.0299999999997</v>
      </c>
      <c r="AD577" s="368">
        <f t="shared" si="553"/>
        <v>3367.9139999999989</v>
      </c>
      <c r="AE577" s="33">
        <f t="shared" si="553"/>
        <v>3367.9139999999989</v>
      </c>
      <c r="AF577" s="368">
        <f t="shared" si="553"/>
        <v>3219.7080000000001</v>
      </c>
      <c r="AG577" s="34">
        <f t="shared" si="553"/>
        <v>2783.2379999999998</v>
      </c>
      <c r="AH577" s="34">
        <f t="shared" si="553"/>
        <v>3522.9659999999985</v>
      </c>
      <c r="AI577" s="368">
        <f t="shared" si="553"/>
        <v>4276.387999999999</v>
      </c>
      <c r="AJ577" s="33">
        <f t="shared" si="553"/>
        <v>4276.387999999999</v>
      </c>
      <c r="AK577" s="368">
        <f t="shared" si="553"/>
        <v>2682.7979999999989</v>
      </c>
      <c r="AL577" s="34">
        <f t="shared" si="553"/>
        <v>5448.2929999999988</v>
      </c>
      <c r="AM577" s="34">
        <f t="shared" si="553"/>
        <v>5826</v>
      </c>
      <c r="AN577" s="368">
        <f t="shared" si="553"/>
        <v>6783</v>
      </c>
      <c r="AO577" s="33">
        <f t="shared" si="553"/>
        <v>6783</v>
      </c>
      <c r="AP577" s="368">
        <f t="shared" si="553"/>
        <v>8547</v>
      </c>
      <c r="AQ577" s="34">
        <f t="shared" si="553"/>
        <v>9106</v>
      </c>
      <c r="AR577" s="34">
        <f t="shared" ref="AR577" si="554">AR574+AR576</f>
        <v>15003</v>
      </c>
      <c r="AS577" s="368">
        <f>AS574+AS576</f>
        <v>19901</v>
      </c>
      <c r="AT577" s="33">
        <f>AT574+AT576</f>
        <v>19901</v>
      </c>
      <c r="AU577" s="368">
        <f t="shared" ref="AU577:AW577" si="555">AU574+AU576</f>
        <v>17723</v>
      </c>
      <c r="AV577" s="34">
        <f t="shared" si="555"/>
        <v>16825</v>
      </c>
      <c r="AW577" s="793">
        <f t="shared" si="555"/>
        <v>16694</v>
      </c>
      <c r="AX577" s="437"/>
      <c r="AY577" s="438"/>
      <c r="AZ577" s="437"/>
      <c r="BA577" s="437"/>
      <c r="BB577" s="437"/>
      <c r="BC577" s="437"/>
      <c r="BD577" s="438"/>
      <c r="BE577" s="438"/>
      <c r="BF577" s="438"/>
      <c r="BG577" s="438"/>
      <c r="BH577" s="368"/>
    </row>
    <row r="578" spans="1:60" s="116" customFormat="1" hidden="1" outlineLevel="1" x14ac:dyDescent="0.25">
      <c r="A578" s="530"/>
      <c r="B578" s="531"/>
      <c r="C578" s="438"/>
      <c r="D578" s="438"/>
      <c r="E578" s="438"/>
      <c r="F578" s="438"/>
      <c r="G578" s="437"/>
      <c r="H578" s="437"/>
      <c r="I578" s="437"/>
      <c r="J578" s="437"/>
      <c r="K578" s="438"/>
      <c r="L578" s="437"/>
      <c r="M578" s="437"/>
      <c r="N578" s="437"/>
      <c r="O578" s="437"/>
      <c r="P578" s="438"/>
      <c r="Q578" s="437"/>
      <c r="R578" s="437"/>
      <c r="S578" s="437"/>
      <c r="T578" s="437"/>
      <c r="U578" s="438"/>
      <c r="V578" s="437"/>
      <c r="W578" s="437"/>
      <c r="X578" s="437"/>
      <c r="Y578" s="437"/>
      <c r="Z578" s="438"/>
      <c r="AA578" s="437"/>
      <c r="AB578" s="437"/>
      <c r="AC578" s="437"/>
      <c r="AD578" s="437"/>
      <c r="AE578" s="438"/>
      <c r="AF578" s="437"/>
      <c r="AG578" s="437"/>
      <c r="AH578" s="437"/>
      <c r="AI578" s="437"/>
      <c r="AJ578" s="438"/>
      <c r="AK578" s="437"/>
      <c r="AL578" s="437"/>
      <c r="AM578" s="437"/>
      <c r="AN578" s="437"/>
      <c r="AO578" s="438"/>
      <c r="AP578" s="437"/>
      <c r="AQ578" s="437"/>
      <c r="AR578" s="437"/>
      <c r="AS578" s="437"/>
      <c r="AT578" s="438"/>
      <c r="AU578" s="437"/>
      <c r="AV578" s="437"/>
      <c r="AW578" s="725"/>
      <c r="AX578" s="437"/>
      <c r="AY578" s="438"/>
      <c r="AZ578" s="437"/>
      <c r="BA578" s="437"/>
      <c r="BB578" s="437"/>
      <c r="BC578" s="437"/>
      <c r="BD578" s="438"/>
      <c r="BE578" s="438"/>
      <c r="BF578" s="438"/>
      <c r="BG578" s="438"/>
      <c r="BH578" s="368"/>
    </row>
    <row r="579" spans="1:60" s="356" customFormat="1" hidden="1" outlineLevel="1" x14ac:dyDescent="0.25">
      <c r="A579" s="580" t="s">
        <v>592</v>
      </c>
      <c r="B579" s="450"/>
      <c r="C579" s="35">
        <v>7.0000000000000007E-2</v>
      </c>
      <c r="D579" s="35">
        <v>1.1379999999999999</v>
      </c>
      <c r="E579" s="35">
        <v>3.472</v>
      </c>
      <c r="F579" s="35">
        <v>6.9379999999999997</v>
      </c>
      <c r="G579" s="439"/>
      <c r="H579" s="439"/>
      <c r="I579" s="439"/>
      <c r="J579" s="361">
        <f>K579</f>
        <v>9.0410000000000004</v>
      </c>
      <c r="K579" s="35">
        <v>9.0410000000000004</v>
      </c>
      <c r="L579" s="439"/>
      <c r="M579" s="439"/>
      <c r="N579" s="439"/>
      <c r="O579" s="361">
        <f>P579</f>
        <v>20.539000000000001</v>
      </c>
      <c r="P579" s="35">
        <v>20.539000000000001</v>
      </c>
      <c r="Q579" s="439"/>
      <c r="R579" s="439"/>
      <c r="S579" s="439"/>
      <c r="T579" s="361">
        <f>U579</f>
        <v>32.06</v>
      </c>
      <c r="U579" s="35">
        <v>32.06</v>
      </c>
      <c r="V579" s="439"/>
      <c r="W579" s="439"/>
      <c r="X579" s="439"/>
      <c r="Y579" s="361">
        <f>Z579</f>
        <v>38.692999999999998</v>
      </c>
      <c r="Z579" s="35">
        <v>38.692999999999998</v>
      </c>
      <c r="AA579" s="439"/>
      <c r="AB579" s="439"/>
      <c r="AC579" s="439"/>
      <c r="AD579" s="361">
        <f>AE579</f>
        <v>182.571</v>
      </c>
      <c r="AE579" s="35">
        <v>182.571</v>
      </c>
      <c r="AF579" s="439"/>
      <c r="AG579" s="439"/>
      <c r="AH579" s="439"/>
      <c r="AI579" s="361">
        <f>AJ579</f>
        <v>380.83600000000001</v>
      </c>
      <c r="AJ579" s="35">
        <v>380.83600000000001</v>
      </c>
      <c r="AK579" s="439"/>
      <c r="AL579" s="439"/>
      <c r="AM579" s="439"/>
      <c r="AN579" s="361">
        <f>AO579</f>
        <v>455</v>
      </c>
      <c r="AO579" s="35">
        <v>455</v>
      </c>
      <c r="AP579" s="439"/>
      <c r="AQ579" s="439"/>
      <c r="AR579" s="439"/>
      <c r="AS579" s="361">
        <f>AT579</f>
        <v>444</v>
      </c>
      <c r="AT579" s="35">
        <v>444</v>
      </c>
      <c r="AU579" s="439"/>
      <c r="AV579" s="439"/>
      <c r="AW579" s="726"/>
      <c r="AX579" s="439"/>
      <c r="AY579" s="440"/>
      <c r="AZ579" s="439"/>
      <c r="BA579" s="439"/>
      <c r="BB579" s="439"/>
      <c r="BC579" s="439"/>
      <c r="BD579" s="440"/>
      <c r="BE579" s="440"/>
      <c r="BF579" s="440"/>
      <c r="BG579" s="440"/>
      <c r="BH579" s="361"/>
    </row>
    <row r="580" spans="1:60" s="356" customFormat="1" hidden="1" outlineLevel="1" x14ac:dyDescent="0.25">
      <c r="A580" s="580" t="s">
        <v>593</v>
      </c>
      <c r="B580" s="450"/>
      <c r="C580" s="35">
        <v>0.17100000000000001</v>
      </c>
      <c r="D580" s="35">
        <v>8.9999999999999993E-3</v>
      </c>
      <c r="E580" s="35">
        <v>0.28199999999999997</v>
      </c>
      <c r="F580" s="35">
        <v>0.11700000000000001</v>
      </c>
      <c r="G580" s="439"/>
      <c r="H580" s="439"/>
      <c r="I580" s="439"/>
      <c r="J580" s="361">
        <f>K580</f>
        <v>0.25700000000000001</v>
      </c>
      <c r="K580" s="35">
        <v>0.25700000000000001</v>
      </c>
      <c r="L580" s="439"/>
      <c r="M580" s="439"/>
      <c r="N580" s="439"/>
      <c r="O580" s="361">
        <f>P580</f>
        <v>3.12</v>
      </c>
      <c r="P580" s="35">
        <v>3.12</v>
      </c>
      <c r="Q580" s="439"/>
      <c r="R580" s="439"/>
      <c r="S580" s="439"/>
      <c r="T580" s="361">
        <f>U580</f>
        <v>9.4610000000000003</v>
      </c>
      <c r="U580" s="35">
        <v>9.4610000000000003</v>
      </c>
      <c r="V580" s="439"/>
      <c r="W580" s="439"/>
      <c r="X580" s="439"/>
      <c r="Y580" s="361">
        <f>Z580</f>
        <v>16.385000000000002</v>
      </c>
      <c r="Z580" s="35">
        <v>16.385000000000002</v>
      </c>
      <c r="AA580" s="439"/>
      <c r="AB580" s="439"/>
      <c r="AC580" s="439"/>
      <c r="AD580" s="361">
        <f>AE580</f>
        <v>65.694999999999993</v>
      </c>
      <c r="AE580" s="35">
        <v>65.694999999999993</v>
      </c>
      <c r="AF580" s="439"/>
      <c r="AG580" s="439"/>
      <c r="AH580" s="439"/>
      <c r="AI580" s="361">
        <f>AJ580</f>
        <v>35.408999999999999</v>
      </c>
      <c r="AJ580" s="35">
        <v>35.408999999999999</v>
      </c>
      <c r="AK580" s="439"/>
      <c r="AL580" s="439"/>
      <c r="AM580" s="439"/>
      <c r="AN580" s="361">
        <f>AO580</f>
        <v>54</v>
      </c>
      <c r="AO580" s="35">
        <v>54</v>
      </c>
      <c r="AP580" s="439"/>
      <c r="AQ580" s="439"/>
      <c r="AR580" s="439"/>
      <c r="AS580" s="361">
        <f>AT580</f>
        <v>115</v>
      </c>
      <c r="AT580" s="35">
        <v>115</v>
      </c>
      <c r="AU580" s="439"/>
      <c r="AV580" s="439"/>
      <c r="AW580" s="726"/>
      <c r="AX580" s="439"/>
      <c r="AY580" s="440"/>
      <c r="AZ580" s="439"/>
      <c r="BA580" s="439"/>
      <c r="BB580" s="439"/>
      <c r="BC580" s="439"/>
      <c r="BD580" s="440"/>
      <c r="BE580" s="440"/>
      <c r="BF580" s="440"/>
      <c r="BG580" s="440"/>
      <c r="BH580" s="361"/>
    </row>
    <row r="581" spans="1:60" s="116" customFormat="1" collapsed="1" x14ac:dyDescent="0.25">
      <c r="A581" s="530"/>
      <c r="B581" s="531"/>
      <c r="C581" s="438"/>
      <c r="D581" s="438"/>
      <c r="E581" s="438"/>
      <c r="F581" s="438"/>
      <c r="G581" s="437"/>
      <c r="H581" s="437"/>
      <c r="I581" s="437"/>
      <c r="J581" s="437"/>
      <c r="K581" s="438"/>
      <c r="L581" s="437"/>
      <c r="M581" s="437"/>
      <c r="N581" s="437"/>
      <c r="O581" s="437"/>
      <c r="P581" s="438"/>
      <c r="Q581" s="437"/>
      <c r="R581" s="437"/>
      <c r="S581" s="437"/>
      <c r="T581" s="437"/>
      <c r="U581" s="438"/>
      <c r="V581" s="437"/>
      <c r="W581" s="437"/>
      <c r="X581" s="437"/>
      <c r="Y581" s="437"/>
      <c r="Z581" s="438"/>
      <c r="AA581" s="437"/>
      <c r="AB581" s="437"/>
      <c r="AC581" s="437"/>
      <c r="AD581" s="437"/>
      <c r="AE581" s="438"/>
      <c r="AF581" s="437"/>
      <c r="AG581" s="437"/>
      <c r="AH581" s="437"/>
      <c r="AI581" s="437"/>
      <c r="AJ581" s="438"/>
      <c r="AK581" s="437"/>
      <c r="AL581" s="437"/>
      <c r="AM581" s="437"/>
      <c r="AN581" s="437"/>
      <c r="AO581" s="438"/>
      <c r="AP581" s="437"/>
      <c r="AQ581" s="437"/>
      <c r="AR581" s="437"/>
      <c r="AS581" s="437"/>
      <c r="AT581" s="438"/>
      <c r="AU581" s="437"/>
      <c r="AV581" s="437"/>
      <c r="AW581" s="725"/>
      <c r="AX581" s="437"/>
      <c r="AY581" s="438"/>
      <c r="AZ581" s="437"/>
      <c r="BA581" s="437"/>
      <c r="BB581" s="437"/>
      <c r="BC581" s="437"/>
      <c r="BD581" s="438"/>
      <c r="BE581" s="438"/>
      <c r="BF581" s="438"/>
      <c r="BG581" s="438"/>
      <c r="BH581" s="368"/>
    </row>
    <row r="582" spans="1:60" s="116" customFormat="1" x14ac:dyDescent="0.25">
      <c r="A582" s="583" t="s">
        <v>239</v>
      </c>
      <c r="B582" s="583"/>
      <c r="C582" s="583"/>
      <c r="D582" s="583"/>
      <c r="E582" s="583"/>
      <c r="F582" s="583"/>
      <c r="G582" s="583"/>
      <c r="H582" s="583"/>
      <c r="I582" s="583"/>
      <c r="J582" s="583"/>
      <c r="K582" s="583"/>
      <c r="L582" s="583"/>
      <c r="M582" s="583"/>
      <c r="N582" s="583"/>
      <c r="O582" s="583"/>
      <c r="P582" s="583"/>
      <c r="Q582" s="583"/>
      <c r="R582" s="583"/>
      <c r="S582" s="583"/>
      <c r="T582" s="583"/>
      <c r="U582" s="583"/>
      <c r="V582" s="583"/>
      <c r="W582" s="583"/>
      <c r="X582" s="583"/>
      <c r="Y582" s="583"/>
      <c r="Z582" s="583"/>
      <c r="AA582" s="583"/>
      <c r="AB582" s="583"/>
      <c r="AC582" s="583"/>
      <c r="AD582" s="583"/>
      <c r="AE582" s="583"/>
      <c r="AF582" s="583"/>
      <c r="AG582" s="583"/>
      <c r="AH582" s="583"/>
      <c r="AI582" s="583"/>
      <c r="AJ582" s="583"/>
      <c r="AK582" s="583"/>
      <c r="AL582" s="583"/>
      <c r="AM582" s="583"/>
      <c r="AN582" s="583"/>
      <c r="AO582" s="583"/>
      <c r="AP582" s="583"/>
      <c r="AQ582" s="583"/>
      <c r="AR582" s="583"/>
      <c r="AS582" s="583"/>
      <c r="AT582" s="583"/>
      <c r="AU582" s="583"/>
      <c r="AV582" s="583"/>
      <c r="AW582" s="744"/>
      <c r="AX582" s="583"/>
      <c r="AY582" s="583"/>
      <c r="AZ582" s="583"/>
      <c r="BA582" s="583"/>
      <c r="BB582" s="583"/>
      <c r="BC582" s="583"/>
      <c r="BD582" s="583"/>
      <c r="BE582" s="583"/>
      <c r="BF582" s="583"/>
      <c r="BG582" s="583"/>
      <c r="BH582" s="368"/>
    </row>
    <row r="583" spans="1:60" s="116" customFormat="1" x14ac:dyDescent="0.25">
      <c r="A583" s="436" t="str">
        <f t="shared" ref="A583:A616" si="556">A493</f>
        <v>CFO</v>
      </c>
      <c r="B583" s="531"/>
      <c r="C583" s="438"/>
      <c r="D583" s="438"/>
      <c r="E583" s="438"/>
      <c r="F583" s="438"/>
      <c r="G583" s="437"/>
      <c r="H583" s="437"/>
      <c r="I583" s="437"/>
      <c r="J583" s="437"/>
      <c r="K583" s="438"/>
      <c r="L583" s="437"/>
      <c r="M583" s="437"/>
      <c r="N583" s="437"/>
      <c r="O583" s="437"/>
      <c r="P583" s="438"/>
      <c r="Q583" s="437"/>
      <c r="R583" s="437"/>
      <c r="S583" s="437"/>
      <c r="T583" s="437"/>
      <c r="U583" s="438"/>
      <c r="V583" s="437"/>
      <c r="W583" s="437"/>
      <c r="X583" s="437"/>
      <c r="Y583" s="437"/>
      <c r="Z583" s="438"/>
      <c r="AA583" s="437"/>
      <c r="AB583" s="437"/>
      <c r="AC583" s="437"/>
      <c r="AD583" s="437"/>
      <c r="AE583" s="438"/>
      <c r="AF583" s="437"/>
      <c r="AG583" s="437"/>
      <c r="AH583" s="437"/>
      <c r="AI583" s="437"/>
      <c r="AJ583" s="438"/>
      <c r="AK583" s="437"/>
      <c r="AL583" s="437"/>
      <c r="AM583" s="437"/>
      <c r="AN583" s="437"/>
      <c r="AO583" s="438"/>
      <c r="AP583" s="437"/>
      <c r="AQ583" s="437"/>
      <c r="AR583" s="437"/>
      <c r="AS583" s="437"/>
      <c r="AT583" s="438"/>
      <c r="AU583" s="437"/>
      <c r="AV583" s="437"/>
      <c r="AW583" s="725"/>
      <c r="AX583" s="437"/>
      <c r="AY583" s="438"/>
      <c r="AZ583" s="437"/>
      <c r="BA583" s="437"/>
      <c r="BB583" s="437"/>
      <c r="BC583" s="437"/>
      <c r="BD583" s="438"/>
      <c r="BE583" s="438"/>
      <c r="BF583" s="438"/>
      <c r="BG583" s="438"/>
      <c r="BH583" s="368"/>
    </row>
    <row r="584" spans="1:60" s="356" customFormat="1" x14ac:dyDescent="0.25">
      <c r="A584" s="526" t="str">
        <f t="shared" si="556"/>
        <v>Net loss</v>
      </c>
      <c r="B584" s="450"/>
      <c r="C584" s="440">
        <f t="shared" ref="C584:G592" si="557">C494</f>
        <v>-55.74</v>
      </c>
      <c r="D584" s="440">
        <f t="shared" si="557"/>
        <v>-154.328</v>
      </c>
      <c r="E584" s="440">
        <f t="shared" si="557"/>
        <v>-254.411</v>
      </c>
      <c r="F584" s="440">
        <f t="shared" si="557"/>
        <v>-396.21300000000002</v>
      </c>
      <c r="G584" s="439">
        <f t="shared" si="557"/>
        <v>11.247999999999999</v>
      </c>
      <c r="H584" s="439">
        <f t="shared" ref="H584:J592" si="558">H494-G494</f>
        <v>-30.502000000000002</v>
      </c>
      <c r="I584" s="439">
        <f t="shared" si="558"/>
        <v>-38.495999999999995</v>
      </c>
      <c r="J584" s="439">
        <f t="shared" si="558"/>
        <v>-16.263999999999996</v>
      </c>
      <c r="K584" s="440">
        <f t="shared" ref="K584:L592" si="559">K494</f>
        <v>-74.013999999999996</v>
      </c>
      <c r="L584" s="439">
        <f t="shared" si="559"/>
        <v>-49.8</v>
      </c>
      <c r="M584" s="439">
        <f t="shared" ref="M584:O592" si="560">M494-L494</f>
        <v>-61.902000000000001</v>
      </c>
      <c r="N584" s="439">
        <f t="shared" si="560"/>
        <v>-74.709000000000003</v>
      </c>
      <c r="O584" s="439">
        <f t="shared" si="560"/>
        <v>-107.62900000000002</v>
      </c>
      <c r="P584" s="440">
        <f t="shared" ref="P584:Q592" si="561">P494</f>
        <v>-294.04000000000002</v>
      </c>
      <c r="Q584" s="439">
        <f t="shared" si="561"/>
        <v>-154.18100000000001</v>
      </c>
      <c r="R584" s="439">
        <f t="shared" ref="R584:T592" si="562">R494-Q494</f>
        <v>-184.227</v>
      </c>
      <c r="S584" s="439">
        <f t="shared" si="562"/>
        <v>-229.85799999999995</v>
      </c>
      <c r="T584" s="439">
        <f t="shared" si="562"/>
        <v>-320.39700000000005</v>
      </c>
      <c r="U584" s="440">
        <f t="shared" ref="U584:V592" si="563">U494</f>
        <v>-888.66300000000001</v>
      </c>
      <c r="V584" s="439">
        <f t="shared" si="563"/>
        <v>-282.267</v>
      </c>
      <c r="W584" s="439">
        <f t="shared" ref="W584:Y592" si="564">W494-V494</f>
        <v>-293.18800000000005</v>
      </c>
      <c r="X584" s="439">
        <f t="shared" si="564"/>
        <v>21.878000000000043</v>
      </c>
      <c r="Y584" s="439">
        <f t="shared" si="564"/>
        <v>-219.46900000000005</v>
      </c>
      <c r="Z584" s="440">
        <f t="shared" ref="Z584:AA592" si="565">Z494</f>
        <v>-773.04600000000005</v>
      </c>
      <c r="AA584" s="439">
        <f t="shared" si="565"/>
        <v>-397.18099999999998</v>
      </c>
      <c r="AB584" s="439">
        <f t="shared" ref="AB584:AD592" si="566">AB494-AA494</f>
        <v>-401.42699999999996</v>
      </c>
      <c r="AC584" s="439">
        <f t="shared" si="566"/>
        <v>-671.16300000000001</v>
      </c>
      <c r="AD584" s="439">
        <f t="shared" si="566"/>
        <v>-770.80700000000002</v>
      </c>
      <c r="AE584" s="440">
        <f t="shared" ref="AE584:AF592" si="567">AE494</f>
        <v>-2240.578</v>
      </c>
      <c r="AF584" s="439">
        <f t="shared" si="567"/>
        <v>-784.62699999999995</v>
      </c>
      <c r="AG584" s="439">
        <f t="shared" ref="AG584:AI592" si="568">AG494-AF494</f>
        <v>-742.70600000000013</v>
      </c>
      <c r="AH584" s="439">
        <f t="shared" si="568"/>
        <v>254.673</v>
      </c>
      <c r="AI584" s="439">
        <f t="shared" si="568"/>
        <v>210.07799999999997</v>
      </c>
      <c r="AJ584" s="440">
        <f t="shared" ref="AJ584:AK592" si="569">AJ494</f>
        <v>-1062.5820000000001</v>
      </c>
      <c r="AK584" s="439">
        <f t="shared" si="569"/>
        <v>-667.64499999999998</v>
      </c>
      <c r="AL584" s="439">
        <f t="shared" ref="AL584:AN592" si="570">AL494-AK494</f>
        <v>-389.26199999999994</v>
      </c>
      <c r="AM584" s="439">
        <f t="shared" si="570"/>
        <v>149.90699999999993</v>
      </c>
      <c r="AN584" s="439">
        <f t="shared" si="570"/>
        <v>132</v>
      </c>
      <c r="AO584" s="440">
        <f t="shared" ref="AO584:AP592" si="571">AO494</f>
        <v>-775</v>
      </c>
      <c r="AP584" s="439">
        <f t="shared" si="571"/>
        <v>68</v>
      </c>
      <c r="AQ584" s="439">
        <f t="shared" ref="AQ584:AS592" si="572">AQ494-AP494</f>
        <v>129</v>
      </c>
      <c r="AR584" s="439">
        <f t="shared" si="572"/>
        <v>369</v>
      </c>
      <c r="AS584" s="439">
        <f t="shared" si="572"/>
        <v>296</v>
      </c>
      <c r="AT584" s="440">
        <f t="shared" ref="AT584:AU592" si="573">AT494</f>
        <v>862</v>
      </c>
      <c r="AU584" s="439">
        <f t="shared" si="573"/>
        <v>464</v>
      </c>
      <c r="AV584" s="439">
        <f t="shared" ref="AV584:AW589" si="574">AV494-AU494</f>
        <v>1178</v>
      </c>
      <c r="AW584" s="726">
        <f t="shared" si="574"/>
        <v>1659</v>
      </c>
      <c r="AX584" s="439">
        <f>AX412</f>
        <v>1716.3436034073657</v>
      </c>
      <c r="AY584" s="440">
        <f t="shared" ref="AY584:AY599" si="575">SUM(AU584,AV584,AW584,AX584)</f>
        <v>5017.3436034073657</v>
      </c>
      <c r="AZ584" s="439">
        <f ca="1">AZ412</f>
        <v>2386.0676255690123</v>
      </c>
      <c r="BA584" s="439">
        <f ca="1">BA412</f>
        <v>2747.9120988816826</v>
      </c>
      <c r="BB584" s="439">
        <f ca="1">BB412</f>
        <v>3641.4401737867956</v>
      </c>
      <c r="BC584" s="439">
        <f ca="1">BC412</f>
        <v>3564.309427245375</v>
      </c>
      <c r="BD584" s="440">
        <f t="shared" ref="BD584:BD599" ca="1" si="576">SUM(AZ584,BA584,BB584,BC584)</f>
        <v>12339.729325482866</v>
      </c>
      <c r="BE584" s="440">
        <f ca="1">BE412</f>
        <v>15467.344831355669</v>
      </c>
      <c r="BF584" s="440">
        <f ca="1">BF412</f>
        <v>19187.669810803425</v>
      </c>
      <c r="BG584" s="440">
        <f ca="1">BG412</f>
        <v>23626.95754195207</v>
      </c>
      <c r="BH584" s="361"/>
    </row>
    <row r="585" spans="1:60" s="356" customFormat="1" x14ac:dyDescent="0.25">
      <c r="A585" s="526" t="str">
        <f t="shared" si="556"/>
        <v>Depreciation and amortization</v>
      </c>
      <c r="B585" s="450"/>
      <c r="C585" s="440">
        <f t="shared" si="557"/>
        <v>6.94</v>
      </c>
      <c r="D585" s="440">
        <f t="shared" si="557"/>
        <v>10.622999999999999</v>
      </c>
      <c r="E585" s="440">
        <f t="shared" si="557"/>
        <v>16.919</v>
      </c>
      <c r="F585" s="440">
        <f t="shared" si="557"/>
        <v>28.824999999999999</v>
      </c>
      <c r="G585" s="439">
        <f t="shared" si="557"/>
        <v>17.850000000000001</v>
      </c>
      <c r="H585" s="439">
        <f t="shared" si="558"/>
        <v>22.198</v>
      </c>
      <c r="I585" s="439">
        <f t="shared" si="558"/>
        <v>28.450000000000003</v>
      </c>
      <c r="J585" s="439">
        <f t="shared" si="558"/>
        <v>37.584999999999994</v>
      </c>
      <c r="K585" s="440">
        <f t="shared" si="559"/>
        <v>106.083</v>
      </c>
      <c r="L585" s="439">
        <f t="shared" si="559"/>
        <v>44.268000000000001</v>
      </c>
      <c r="M585" s="439">
        <f t="shared" si="560"/>
        <v>54.715000000000003</v>
      </c>
      <c r="N585" s="439">
        <f t="shared" si="560"/>
        <v>64.972000000000008</v>
      </c>
      <c r="O585" s="439">
        <f t="shared" si="560"/>
        <v>67.975999999999999</v>
      </c>
      <c r="P585" s="440">
        <f t="shared" si="561"/>
        <v>231.93100000000001</v>
      </c>
      <c r="Q585" s="439">
        <f t="shared" si="561"/>
        <v>77.111999999999995</v>
      </c>
      <c r="R585" s="439">
        <f t="shared" si="562"/>
        <v>91.38900000000001</v>
      </c>
      <c r="S585" s="439">
        <f t="shared" si="562"/>
        <v>110.36600000000001</v>
      </c>
      <c r="T585" s="439">
        <f t="shared" si="562"/>
        <v>143.72299999999996</v>
      </c>
      <c r="U585" s="440">
        <f t="shared" si="563"/>
        <v>422.59</v>
      </c>
      <c r="V585" s="439">
        <f t="shared" si="563"/>
        <v>156.46</v>
      </c>
      <c r="W585" s="439">
        <f t="shared" si="564"/>
        <v>183.232</v>
      </c>
      <c r="X585" s="439">
        <f t="shared" si="564"/>
        <v>280.46799999999996</v>
      </c>
      <c r="Y585" s="439">
        <f t="shared" si="564"/>
        <v>326.93900000000008</v>
      </c>
      <c r="Z585" s="440">
        <f t="shared" si="565"/>
        <v>947.09900000000005</v>
      </c>
      <c r="AA585" s="439">
        <f t="shared" si="565"/>
        <v>376.60199999999998</v>
      </c>
      <c r="AB585" s="439">
        <f t="shared" si="566"/>
        <v>389.17100000000005</v>
      </c>
      <c r="AC585" s="439">
        <f t="shared" si="566"/>
        <v>400.62399999999991</v>
      </c>
      <c r="AD585" s="439">
        <f t="shared" si="566"/>
        <v>469.60599999999999</v>
      </c>
      <c r="AE585" s="440">
        <f t="shared" si="567"/>
        <v>1636.0029999999999</v>
      </c>
      <c r="AF585" s="439">
        <f t="shared" si="567"/>
        <v>416.233</v>
      </c>
      <c r="AG585" s="439">
        <f t="shared" si="568"/>
        <v>485.25500000000005</v>
      </c>
      <c r="AH585" s="439">
        <f t="shared" si="568"/>
        <v>502.82500000000005</v>
      </c>
      <c r="AI585" s="439">
        <f t="shared" si="568"/>
        <v>496.73699999999985</v>
      </c>
      <c r="AJ585" s="440">
        <f t="shared" si="569"/>
        <v>1901.05</v>
      </c>
      <c r="AK585" s="439">
        <f t="shared" si="569"/>
        <v>467.577</v>
      </c>
      <c r="AL585" s="439">
        <f t="shared" si="570"/>
        <v>578.57199999999989</v>
      </c>
      <c r="AM585" s="439">
        <f t="shared" si="570"/>
        <v>530.85100000000011</v>
      </c>
      <c r="AN585" s="439">
        <f t="shared" si="570"/>
        <v>577</v>
      </c>
      <c r="AO585" s="440">
        <f t="shared" si="571"/>
        <v>2154</v>
      </c>
      <c r="AP585" s="439">
        <f t="shared" si="571"/>
        <v>553</v>
      </c>
      <c r="AQ585" s="439">
        <f t="shared" si="572"/>
        <v>567</v>
      </c>
      <c r="AR585" s="439">
        <f t="shared" si="572"/>
        <v>584</v>
      </c>
      <c r="AS585" s="439">
        <f t="shared" si="572"/>
        <v>618</v>
      </c>
      <c r="AT585" s="440">
        <f t="shared" si="573"/>
        <v>2322</v>
      </c>
      <c r="AU585" s="439">
        <f t="shared" si="573"/>
        <v>621</v>
      </c>
      <c r="AV585" s="439">
        <f t="shared" si="574"/>
        <v>681</v>
      </c>
      <c r="AW585" s="726">
        <f t="shared" si="574"/>
        <v>761</v>
      </c>
      <c r="AX585" s="439">
        <f>AX394</f>
        <v>851.07183561643842</v>
      </c>
      <c r="AY585" s="440">
        <f t="shared" si="575"/>
        <v>2914.0718356164384</v>
      </c>
      <c r="AZ585" s="439">
        <f t="shared" ref="AZ585:BC585" si="577">AZ394</f>
        <v>850.88801575530113</v>
      </c>
      <c r="BA585" s="439">
        <f t="shared" si="577"/>
        <v>882.87120877667439</v>
      </c>
      <c r="BB585" s="439">
        <f t="shared" si="577"/>
        <v>914.23389988141503</v>
      </c>
      <c r="BC585" s="439">
        <f t="shared" si="577"/>
        <v>937.02588139631041</v>
      </c>
      <c r="BD585" s="440">
        <f t="shared" si="576"/>
        <v>3585.019005809701</v>
      </c>
      <c r="BE585" s="440">
        <f>BE394</f>
        <v>3812.5069591182682</v>
      </c>
      <c r="BF585" s="440">
        <f>BF394</f>
        <v>4151.5389264436089</v>
      </c>
      <c r="BG585" s="440">
        <f>BG394</f>
        <v>4438.7637023732323</v>
      </c>
      <c r="BH585" s="361"/>
    </row>
    <row r="586" spans="1:60" s="356" customFormat="1" x14ac:dyDescent="0.25">
      <c r="A586" s="526" t="str">
        <f t="shared" si="556"/>
        <v>Stock-based compensation</v>
      </c>
      <c r="B586" s="450"/>
      <c r="C586" s="440">
        <f t="shared" si="557"/>
        <v>1.4339999999999999</v>
      </c>
      <c r="D586" s="440">
        <f t="shared" si="557"/>
        <v>21.155999999999999</v>
      </c>
      <c r="E586" s="440">
        <f t="shared" si="557"/>
        <v>29.419</v>
      </c>
      <c r="F586" s="440">
        <f t="shared" si="557"/>
        <v>50.145000000000003</v>
      </c>
      <c r="G586" s="439">
        <f t="shared" si="557"/>
        <v>14.868</v>
      </c>
      <c r="H586" s="439">
        <f t="shared" si="558"/>
        <v>19.713999999999999</v>
      </c>
      <c r="I586" s="439">
        <f t="shared" si="558"/>
        <v>20.984000000000002</v>
      </c>
      <c r="J586" s="439">
        <f t="shared" si="558"/>
        <v>25.170999999999992</v>
      </c>
      <c r="K586" s="440">
        <f t="shared" si="559"/>
        <v>80.736999999999995</v>
      </c>
      <c r="L586" s="439">
        <f t="shared" si="559"/>
        <v>37.037999999999997</v>
      </c>
      <c r="M586" s="439">
        <f t="shared" si="560"/>
        <v>35.784000000000006</v>
      </c>
      <c r="N586" s="439">
        <f t="shared" si="560"/>
        <v>39.158000000000001</v>
      </c>
      <c r="O586" s="439">
        <f t="shared" si="560"/>
        <v>44.516000000000005</v>
      </c>
      <c r="P586" s="440">
        <f t="shared" si="561"/>
        <v>156.49600000000001</v>
      </c>
      <c r="Q586" s="439">
        <f t="shared" si="561"/>
        <v>43.026000000000003</v>
      </c>
      <c r="R586" s="439">
        <f t="shared" si="562"/>
        <v>43.300999999999995</v>
      </c>
      <c r="S586" s="439">
        <f t="shared" si="562"/>
        <v>56.032000000000011</v>
      </c>
      <c r="T586" s="439">
        <f t="shared" si="562"/>
        <v>55.639999999999986</v>
      </c>
      <c r="U586" s="440">
        <f t="shared" si="563"/>
        <v>197.999</v>
      </c>
      <c r="V586" s="439">
        <f t="shared" si="563"/>
        <v>89.658000000000001</v>
      </c>
      <c r="W586" s="439">
        <f t="shared" si="564"/>
        <v>67.310999999999993</v>
      </c>
      <c r="X586" s="439">
        <f t="shared" si="564"/>
        <v>89.543000000000006</v>
      </c>
      <c r="Y586" s="439">
        <f t="shared" si="564"/>
        <v>87.713000000000022</v>
      </c>
      <c r="Z586" s="440">
        <f t="shared" si="565"/>
        <v>334.22500000000002</v>
      </c>
      <c r="AA586" s="439">
        <f t="shared" si="565"/>
        <v>103.717</v>
      </c>
      <c r="AB586" s="439">
        <f t="shared" si="566"/>
        <v>116.04199999999999</v>
      </c>
      <c r="AC586" s="439">
        <f t="shared" si="566"/>
        <v>112.65299999999999</v>
      </c>
      <c r="AD586" s="439">
        <f t="shared" si="566"/>
        <v>134.34800000000001</v>
      </c>
      <c r="AE586" s="440">
        <f t="shared" si="567"/>
        <v>466.76</v>
      </c>
      <c r="AF586" s="439">
        <f t="shared" si="567"/>
        <v>141.63900000000001</v>
      </c>
      <c r="AG586" s="439">
        <f t="shared" si="568"/>
        <v>197.34399999999999</v>
      </c>
      <c r="AH586" s="439">
        <f t="shared" si="568"/>
        <v>204.72800000000001</v>
      </c>
      <c r="AI586" s="439">
        <f t="shared" si="568"/>
        <v>205.31299999999999</v>
      </c>
      <c r="AJ586" s="440">
        <f t="shared" si="569"/>
        <v>749.024</v>
      </c>
      <c r="AK586" s="439">
        <f t="shared" si="569"/>
        <v>208.37799999999999</v>
      </c>
      <c r="AL586" s="439">
        <f t="shared" si="570"/>
        <v>209.863</v>
      </c>
      <c r="AM586" s="439">
        <f t="shared" si="570"/>
        <v>198.75900000000001</v>
      </c>
      <c r="AN586" s="439">
        <f t="shared" si="570"/>
        <v>281</v>
      </c>
      <c r="AO586" s="440">
        <f t="shared" si="571"/>
        <v>898</v>
      </c>
      <c r="AP586" s="439">
        <f t="shared" si="571"/>
        <v>211</v>
      </c>
      <c r="AQ586" s="439">
        <f t="shared" si="572"/>
        <v>347</v>
      </c>
      <c r="AR586" s="439">
        <f t="shared" si="572"/>
        <v>543</v>
      </c>
      <c r="AS586" s="439">
        <f t="shared" si="572"/>
        <v>633</v>
      </c>
      <c r="AT586" s="440">
        <f t="shared" si="573"/>
        <v>1734</v>
      </c>
      <c r="AU586" s="439">
        <f t="shared" si="573"/>
        <v>614</v>
      </c>
      <c r="AV586" s="439">
        <f t="shared" si="574"/>
        <v>474</v>
      </c>
      <c r="AW586" s="726">
        <f t="shared" si="574"/>
        <v>475</v>
      </c>
      <c r="AX586" s="439">
        <f>AX395</f>
        <v>315</v>
      </c>
      <c r="AY586" s="440">
        <f t="shared" si="575"/>
        <v>1878</v>
      </c>
      <c r="AZ586" s="439">
        <f t="shared" ref="AZ586:BC586" si="578">AZ395</f>
        <v>315</v>
      </c>
      <c r="BA586" s="439">
        <f t="shared" si="578"/>
        <v>315</v>
      </c>
      <c r="BB586" s="439">
        <f t="shared" si="578"/>
        <v>315</v>
      </c>
      <c r="BC586" s="439">
        <f t="shared" si="578"/>
        <v>315</v>
      </c>
      <c r="BD586" s="440">
        <f t="shared" si="576"/>
        <v>1260</v>
      </c>
      <c r="BE586" s="440">
        <f t="shared" ref="BE586:BG586" si="579">BE395</f>
        <v>1260</v>
      </c>
      <c r="BF586" s="440">
        <f t="shared" si="579"/>
        <v>1260</v>
      </c>
      <c r="BG586" s="440">
        <f t="shared" si="579"/>
        <v>1260</v>
      </c>
      <c r="BH586" s="361"/>
    </row>
    <row r="587" spans="1:60" s="356" customFormat="1" x14ac:dyDescent="0.25">
      <c r="A587" s="526" t="str">
        <f t="shared" si="556"/>
        <v>Gain (loss) on acquisition of SolarCity</v>
      </c>
      <c r="B587" s="450"/>
      <c r="C587" s="440">
        <f t="shared" si="557"/>
        <v>0</v>
      </c>
      <c r="D587" s="440">
        <f t="shared" si="557"/>
        <v>0</v>
      </c>
      <c r="E587" s="440">
        <f t="shared" si="557"/>
        <v>0</v>
      </c>
      <c r="F587" s="440">
        <f t="shared" si="557"/>
        <v>0</v>
      </c>
      <c r="G587" s="439">
        <f t="shared" si="557"/>
        <v>0</v>
      </c>
      <c r="H587" s="439">
        <f t="shared" si="558"/>
        <v>0</v>
      </c>
      <c r="I587" s="439">
        <f t="shared" si="558"/>
        <v>0</v>
      </c>
      <c r="J587" s="439">
        <f t="shared" si="558"/>
        <v>0</v>
      </c>
      <c r="K587" s="440">
        <f t="shared" si="559"/>
        <v>0</v>
      </c>
      <c r="L587" s="439">
        <f t="shared" si="559"/>
        <v>0</v>
      </c>
      <c r="M587" s="439">
        <f t="shared" si="560"/>
        <v>0</v>
      </c>
      <c r="N587" s="439">
        <f t="shared" si="560"/>
        <v>0</v>
      </c>
      <c r="O587" s="439">
        <f t="shared" si="560"/>
        <v>0</v>
      </c>
      <c r="P587" s="440">
        <f t="shared" si="561"/>
        <v>0</v>
      </c>
      <c r="Q587" s="439">
        <f t="shared" si="561"/>
        <v>0</v>
      </c>
      <c r="R587" s="439">
        <f t="shared" si="562"/>
        <v>0</v>
      </c>
      <c r="S587" s="439">
        <f t="shared" si="562"/>
        <v>0</v>
      </c>
      <c r="T587" s="439">
        <f t="shared" si="562"/>
        <v>0</v>
      </c>
      <c r="U587" s="440">
        <f t="shared" si="563"/>
        <v>0</v>
      </c>
      <c r="V587" s="439">
        <f t="shared" si="563"/>
        <v>0</v>
      </c>
      <c r="W587" s="439">
        <f t="shared" si="564"/>
        <v>0</v>
      </c>
      <c r="X587" s="439">
        <f t="shared" si="564"/>
        <v>0</v>
      </c>
      <c r="Y587" s="439">
        <f t="shared" si="564"/>
        <v>-88.727000000000004</v>
      </c>
      <c r="Z587" s="440">
        <f t="shared" si="565"/>
        <v>-88.727000000000004</v>
      </c>
      <c r="AA587" s="439">
        <f t="shared" si="565"/>
        <v>11.571</v>
      </c>
      <c r="AB587" s="439">
        <f t="shared" si="566"/>
        <v>0</v>
      </c>
      <c r="AC587" s="439">
        <f t="shared" si="566"/>
        <v>18.225000000000001</v>
      </c>
      <c r="AD587" s="439">
        <f t="shared" si="566"/>
        <v>27.950000000000003</v>
      </c>
      <c r="AE587" s="440">
        <f t="shared" si="567"/>
        <v>57.746000000000002</v>
      </c>
      <c r="AF587" s="439">
        <f t="shared" si="567"/>
        <v>0</v>
      </c>
      <c r="AG587" s="439">
        <f t="shared" si="568"/>
        <v>0</v>
      </c>
      <c r="AH587" s="439">
        <f t="shared" si="568"/>
        <v>0</v>
      </c>
      <c r="AI587" s="439">
        <f t="shared" si="568"/>
        <v>0</v>
      </c>
      <c r="AJ587" s="440">
        <f t="shared" si="569"/>
        <v>0</v>
      </c>
      <c r="AK587" s="439">
        <f t="shared" si="569"/>
        <v>0</v>
      </c>
      <c r="AL587" s="439">
        <f t="shared" si="570"/>
        <v>0</v>
      </c>
      <c r="AM587" s="439">
        <f t="shared" si="570"/>
        <v>0</v>
      </c>
      <c r="AN587" s="439">
        <f t="shared" si="570"/>
        <v>0</v>
      </c>
      <c r="AO587" s="440">
        <f t="shared" si="571"/>
        <v>0</v>
      </c>
      <c r="AP587" s="439">
        <f t="shared" si="571"/>
        <v>0</v>
      </c>
      <c r="AQ587" s="439">
        <f t="shared" si="572"/>
        <v>0</v>
      </c>
      <c r="AR587" s="439">
        <f t="shared" si="572"/>
        <v>0</v>
      </c>
      <c r="AS587" s="439">
        <f t="shared" si="572"/>
        <v>0</v>
      </c>
      <c r="AT587" s="440">
        <f t="shared" si="573"/>
        <v>0</v>
      </c>
      <c r="AU587" s="439">
        <f t="shared" si="573"/>
        <v>0</v>
      </c>
      <c r="AV587" s="439">
        <f t="shared" si="574"/>
        <v>0</v>
      </c>
      <c r="AW587" s="726">
        <f t="shared" si="574"/>
        <v>0</v>
      </c>
      <c r="AX587" s="439"/>
      <c r="AY587" s="440">
        <f t="shared" si="575"/>
        <v>0</v>
      </c>
      <c r="AZ587" s="439"/>
      <c r="BA587" s="439"/>
      <c r="BB587" s="439"/>
      <c r="BC587" s="439"/>
      <c r="BD587" s="440">
        <f t="shared" si="576"/>
        <v>0</v>
      </c>
      <c r="BE587" s="440"/>
      <c r="BF587" s="440"/>
      <c r="BG587" s="440"/>
      <c r="BH587" s="361"/>
    </row>
    <row r="588" spans="1:60" s="356" customFormat="1" x14ac:dyDescent="0.25">
      <c r="A588" s="526" t="str">
        <f t="shared" si="556"/>
        <v>Operating cash flow related to repayment of discounted convertible notes</v>
      </c>
      <c r="B588" s="450"/>
      <c r="C588" s="440">
        <f t="shared" si="557"/>
        <v>0</v>
      </c>
      <c r="D588" s="440">
        <f t="shared" si="557"/>
        <v>0</v>
      </c>
      <c r="E588" s="440">
        <f t="shared" si="557"/>
        <v>0</v>
      </c>
      <c r="F588" s="440">
        <f t="shared" si="557"/>
        <v>0</v>
      </c>
      <c r="G588" s="439">
        <f t="shared" si="557"/>
        <v>0</v>
      </c>
      <c r="H588" s="439">
        <f t="shared" si="558"/>
        <v>0</v>
      </c>
      <c r="I588" s="439">
        <f t="shared" si="558"/>
        <v>0</v>
      </c>
      <c r="J588" s="439">
        <f t="shared" si="558"/>
        <v>0</v>
      </c>
      <c r="K588" s="440">
        <f t="shared" si="559"/>
        <v>0</v>
      </c>
      <c r="L588" s="439">
        <f t="shared" si="559"/>
        <v>0</v>
      </c>
      <c r="M588" s="439">
        <f t="shared" si="560"/>
        <v>0</v>
      </c>
      <c r="N588" s="439">
        <f t="shared" si="560"/>
        <v>0</v>
      </c>
      <c r="O588" s="439">
        <f t="shared" si="560"/>
        <v>0</v>
      </c>
      <c r="P588" s="440">
        <f t="shared" si="561"/>
        <v>0</v>
      </c>
      <c r="Q588" s="439">
        <f t="shared" si="561"/>
        <v>0</v>
      </c>
      <c r="R588" s="439">
        <f t="shared" si="562"/>
        <v>0</v>
      </c>
      <c r="S588" s="439">
        <f t="shared" si="562"/>
        <v>0</v>
      </c>
      <c r="T588" s="439">
        <f t="shared" si="562"/>
        <v>0</v>
      </c>
      <c r="U588" s="440">
        <f t="shared" si="563"/>
        <v>0</v>
      </c>
      <c r="V588" s="439">
        <f t="shared" si="563"/>
        <v>0</v>
      </c>
      <c r="W588" s="439">
        <f t="shared" si="564"/>
        <v>0</v>
      </c>
      <c r="X588" s="439">
        <f t="shared" si="564"/>
        <v>0</v>
      </c>
      <c r="Y588" s="439">
        <f t="shared" si="564"/>
        <v>0</v>
      </c>
      <c r="Z588" s="440">
        <f t="shared" si="565"/>
        <v>0</v>
      </c>
      <c r="AA588" s="439">
        <f t="shared" si="565"/>
        <v>0</v>
      </c>
      <c r="AB588" s="439">
        <f t="shared" si="566"/>
        <v>0</v>
      </c>
      <c r="AC588" s="439">
        <f t="shared" si="566"/>
        <v>0</v>
      </c>
      <c r="AD588" s="439">
        <f t="shared" si="566"/>
        <v>0</v>
      </c>
      <c r="AE588" s="440">
        <f t="shared" si="567"/>
        <v>0</v>
      </c>
      <c r="AF588" s="439">
        <f t="shared" si="567"/>
        <v>0</v>
      </c>
      <c r="AG588" s="439">
        <f t="shared" si="568"/>
        <v>0</v>
      </c>
      <c r="AH588" s="439">
        <f t="shared" si="568"/>
        <v>0</v>
      </c>
      <c r="AI588" s="439">
        <f t="shared" si="568"/>
        <v>0</v>
      </c>
      <c r="AJ588" s="440">
        <f t="shared" si="569"/>
        <v>0</v>
      </c>
      <c r="AK588" s="439">
        <f t="shared" si="569"/>
        <v>-188.107</v>
      </c>
      <c r="AL588" s="439">
        <f t="shared" si="570"/>
        <v>0</v>
      </c>
      <c r="AM588" s="439">
        <f t="shared" si="570"/>
        <v>0.10699999999999932</v>
      </c>
      <c r="AN588" s="439">
        <f t="shared" si="570"/>
        <v>0</v>
      </c>
      <c r="AO588" s="440">
        <f t="shared" si="571"/>
        <v>-188</v>
      </c>
      <c r="AP588" s="439">
        <f t="shared" si="571"/>
        <v>0</v>
      </c>
      <c r="AQ588" s="439">
        <f t="shared" si="572"/>
        <v>0</v>
      </c>
      <c r="AR588" s="439">
        <f t="shared" si="572"/>
        <v>0</v>
      </c>
      <c r="AS588" s="439">
        <f t="shared" si="572"/>
        <v>0</v>
      </c>
      <c r="AT588" s="440">
        <f t="shared" si="573"/>
        <v>0</v>
      </c>
      <c r="AU588" s="439">
        <f t="shared" si="573"/>
        <v>0</v>
      </c>
      <c r="AV588" s="439">
        <f t="shared" si="574"/>
        <v>0</v>
      </c>
      <c r="AW588" s="726">
        <f t="shared" si="574"/>
        <v>0</v>
      </c>
      <c r="AX588" s="439"/>
      <c r="AY588" s="440">
        <f t="shared" si="575"/>
        <v>0</v>
      </c>
      <c r="AZ588" s="439"/>
      <c r="BA588" s="439"/>
      <c r="BB588" s="439"/>
      <c r="BC588" s="439"/>
      <c r="BD588" s="440">
        <f t="shared" si="576"/>
        <v>0</v>
      </c>
      <c r="BE588" s="440"/>
      <c r="BF588" s="440"/>
      <c r="BG588" s="440"/>
      <c r="BH588" s="361"/>
    </row>
    <row r="589" spans="1:60" s="356" customFormat="1" x14ac:dyDescent="0.25">
      <c r="A589" s="526" t="str">
        <f t="shared" si="556"/>
        <v>Inventory write-downs</v>
      </c>
      <c r="B589" s="450"/>
      <c r="C589" s="440">
        <f t="shared" si="557"/>
        <v>1.353</v>
      </c>
      <c r="D589" s="440">
        <f t="shared" si="557"/>
        <v>0.95099999999999996</v>
      </c>
      <c r="E589" s="440">
        <f t="shared" si="557"/>
        <v>1.8280000000000001</v>
      </c>
      <c r="F589" s="440">
        <f t="shared" si="557"/>
        <v>4.9290000000000003</v>
      </c>
      <c r="G589" s="439">
        <f t="shared" si="557"/>
        <v>1.532</v>
      </c>
      <c r="H589" s="439">
        <f t="shared" si="558"/>
        <v>4.0570000000000004</v>
      </c>
      <c r="I589" s="439">
        <f t="shared" si="558"/>
        <v>1.1989999999999998</v>
      </c>
      <c r="J589" s="439">
        <f t="shared" si="558"/>
        <v>2.129999999999999</v>
      </c>
      <c r="K589" s="440">
        <f t="shared" si="559"/>
        <v>8.9179999999999993</v>
      </c>
      <c r="L589" s="439">
        <f t="shared" si="559"/>
        <v>1.5780000000000001</v>
      </c>
      <c r="M589" s="439">
        <f t="shared" si="560"/>
        <v>2.2720000000000002</v>
      </c>
      <c r="N589" s="439">
        <f t="shared" si="560"/>
        <v>10.645</v>
      </c>
      <c r="O589" s="439">
        <f t="shared" si="560"/>
        <v>1.1140000000000008</v>
      </c>
      <c r="P589" s="440">
        <f t="shared" si="561"/>
        <v>15.609</v>
      </c>
      <c r="Q589" s="439">
        <f t="shared" si="561"/>
        <v>5.9009999999999998</v>
      </c>
      <c r="R589" s="439">
        <f t="shared" si="562"/>
        <v>10.048999999999999</v>
      </c>
      <c r="S589" s="439">
        <f t="shared" si="562"/>
        <v>7.3530000000000015</v>
      </c>
      <c r="T589" s="439">
        <f t="shared" si="562"/>
        <v>21.636999999999997</v>
      </c>
      <c r="U589" s="440">
        <f t="shared" si="563"/>
        <v>44.94</v>
      </c>
      <c r="V589" s="439">
        <f t="shared" si="563"/>
        <v>13.01</v>
      </c>
      <c r="W589" s="439">
        <f t="shared" si="564"/>
        <v>16.715000000000003</v>
      </c>
      <c r="X589" s="439">
        <f t="shared" si="564"/>
        <v>20.564</v>
      </c>
      <c r="Y589" s="439">
        <f t="shared" si="564"/>
        <v>15.230999999999995</v>
      </c>
      <c r="Z589" s="440">
        <f t="shared" si="565"/>
        <v>65.52</v>
      </c>
      <c r="AA589" s="439">
        <f t="shared" si="565"/>
        <v>26.917999999999999</v>
      </c>
      <c r="AB589" s="439">
        <f t="shared" si="566"/>
        <v>44.336999999999996</v>
      </c>
      <c r="AC589" s="439">
        <f t="shared" si="566"/>
        <v>27.091999999999999</v>
      </c>
      <c r="AD589" s="439">
        <f t="shared" si="566"/>
        <v>33.317999999999998</v>
      </c>
      <c r="AE589" s="440">
        <f t="shared" si="567"/>
        <v>131.66499999999999</v>
      </c>
      <c r="AF589" s="439">
        <f t="shared" si="567"/>
        <v>18.545999999999999</v>
      </c>
      <c r="AG589" s="439">
        <f t="shared" si="568"/>
        <v>27.552</v>
      </c>
      <c r="AH589" s="439">
        <f t="shared" si="568"/>
        <v>13.884999999999998</v>
      </c>
      <c r="AI589" s="439">
        <f t="shared" si="568"/>
        <v>25.289000000000009</v>
      </c>
      <c r="AJ589" s="440">
        <f t="shared" si="569"/>
        <v>85.272000000000006</v>
      </c>
      <c r="AK589" s="439">
        <f t="shared" si="569"/>
        <v>80.843000000000004</v>
      </c>
      <c r="AL589" s="439">
        <f t="shared" si="570"/>
        <v>34.828999999999994</v>
      </c>
      <c r="AM589" s="439">
        <f t="shared" si="570"/>
        <v>51.328000000000003</v>
      </c>
      <c r="AN589" s="439">
        <f t="shared" si="570"/>
        <v>26</v>
      </c>
      <c r="AO589" s="440">
        <f t="shared" si="571"/>
        <v>193</v>
      </c>
      <c r="AP589" s="439">
        <f t="shared" si="571"/>
        <v>45</v>
      </c>
      <c r="AQ589" s="439">
        <f t="shared" si="572"/>
        <v>43</v>
      </c>
      <c r="AR589" s="439">
        <f t="shared" si="572"/>
        <v>52</v>
      </c>
      <c r="AS589" s="439">
        <f t="shared" si="572"/>
        <v>62</v>
      </c>
      <c r="AT589" s="440">
        <f t="shared" si="573"/>
        <v>202</v>
      </c>
      <c r="AU589" s="439">
        <f t="shared" si="573"/>
        <v>49</v>
      </c>
      <c r="AV589" s="439">
        <f t="shared" si="574"/>
        <v>39</v>
      </c>
      <c r="AW589" s="726">
        <f t="shared" si="574"/>
        <v>40</v>
      </c>
      <c r="AX589" s="439"/>
      <c r="AY589" s="440">
        <f t="shared" si="575"/>
        <v>128</v>
      </c>
      <c r="AZ589" s="439"/>
      <c r="BA589" s="439"/>
      <c r="BB589" s="439"/>
      <c r="BC589" s="439"/>
      <c r="BD589" s="440">
        <f t="shared" si="576"/>
        <v>0</v>
      </c>
      <c r="BE589" s="440"/>
      <c r="BF589" s="440"/>
      <c r="BG589" s="440"/>
      <c r="BH589" s="361"/>
    </row>
    <row r="590" spans="1:60" s="356" customFormat="1" x14ac:dyDescent="0.25">
      <c r="A590" s="618" t="str">
        <f t="shared" si="556"/>
        <v>Amortization of debt discounts and issuance costs</v>
      </c>
      <c r="B590" s="450"/>
      <c r="C590" s="440">
        <f t="shared" si="557"/>
        <v>2.6859999999999999</v>
      </c>
      <c r="D590" s="440">
        <f t="shared" si="557"/>
        <v>8.0000000000000002E-3</v>
      </c>
      <c r="E590" s="440">
        <f t="shared" si="557"/>
        <v>0.34499999999999997</v>
      </c>
      <c r="F590" s="440">
        <f t="shared" si="557"/>
        <v>0</v>
      </c>
      <c r="G590" s="439">
        <f t="shared" si="557"/>
        <v>0</v>
      </c>
      <c r="H590" s="439">
        <f t="shared" si="558"/>
        <v>1.5820000000000001</v>
      </c>
      <c r="I590" s="439">
        <f t="shared" si="558"/>
        <v>3.7620000000000005</v>
      </c>
      <c r="J590" s="439">
        <f t="shared" si="558"/>
        <v>3.7990000000000004</v>
      </c>
      <c r="K590" s="440">
        <f t="shared" si="559"/>
        <v>9.1430000000000007</v>
      </c>
      <c r="L590" s="439">
        <f t="shared" si="559"/>
        <v>8.4930000000000003</v>
      </c>
      <c r="M590" s="439">
        <f t="shared" si="560"/>
        <v>23.608999999999995</v>
      </c>
      <c r="N590" s="439">
        <f t="shared" si="560"/>
        <v>23.532000000000004</v>
      </c>
      <c r="O590" s="439">
        <f t="shared" si="560"/>
        <v>14.099999999999994</v>
      </c>
      <c r="P590" s="440">
        <f t="shared" si="561"/>
        <v>69.733999999999995</v>
      </c>
      <c r="Q590" s="439">
        <f t="shared" si="561"/>
        <v>17.940999999999999</v>
      </c>
      <c r="R590" s="439">
        <f t="shared" si="562"/>
        <v>15.771000000000004</v>
      </c>
      <c r="S590" s="439">
        <f t="shared" si="562"/>
        <v>17.663999999999994</v>
      </c>
      <c r="T590" s="439">
        <f t="shared" si="562"/>
        <v>20.687000000000005</v>
      </c>
      <c r="U590" s="440">
        <f t="shared" si="563"/>
        <v>72.063000000000002</v>
      </c>
      <c r="V590" s="439">
        <f t="shared" si="563"/>
        <v>20.613</v>
      </c>
      <c r="W590" s="439">
        <f t="shared" si="564"/>
        <v>21.082999999999998</v>
      </c>
      <c r="X590" s="439">
        <f t="shared" si="564"/>
        <v>22.228000000000002</v>
      </c>
      <c r="Y590" s="439">
        <f t="shared" si="564"/>
        <v>23.362000000000002</v>
      </c>
      <c r="Z590" s="440">
        <f t="shared" si="565"/>
        <v>87.286000000000001</v>
      </c>
      <c r="AA590" s="439">
        <f t="shared" si="565"/>
        <v>30.337</v>
      </c>
      <c r="AB590" s="439">
        <f t="shared" si="566"/>
        <v>33.813999999999993</v>
      </c>
      <c r="AC590" s="439">
        <f t="shared" si="566"/>
        <v>-3.5379999999999967</v>
      </c>
      <c r="AD590" s="439">
        <f t="shared" si="566"/>
        <v>30.424000000000007</v>
      </c>
      <c r="AE590" s="440">
        <f t="shared" si="567"/>
        <v>91.037000000000006</v>
      </c>
      <c r="AF590" s="439">
        <f t="shared" si="567"/>
        <v>39.344999999999999</v>
      </c>
      <c r="AG590" s="439">
        <f t="shared" si="568"/>
        <v>35.073999999999998</v>
      </c>
      <c r="AH590" s="439">
        <f t="shared" si="568"/>
        <v>46.454000000000008</v>
      </c>
      <c r="AI590" s="439">
        <f t="shared" si="568"/>
        <v>37.856999999999985</v>
      </c>
      <c r="AJ590" s="440">
        <f t="shared" si="569"/>
        <v>158.72999999999999</v>
      </c>
      <c r="AK590" s="439">
        <f t="shared" si="569"/>
        <v>40.107999999999997</v>
      </c>
      <c r="AL590" s="439">
        <f t="shared" si="570"/>
        <v>42.015000000000008</v>
      </c>
      <c r="AM590" s="439">
        <f t="shared" si="570"/>
        <v>55.876999999999995</v>
      </c>
      <c r="AN590" s="439">
        <f t="shared" si="570"/>
        <v>50</v>
      </c>
      <c r="AO590" s="440">
        <f t="shared" si="571"/>
        <v>188</v>
      </c>
      <c r="AP590" s="439">
        <f t="shared" si="571"/>
        <v>46</v>
      </c>
      <c r="AQ590" s="439">
        <f t="shared" si="572"/>
        <v>48</v>
      </c>
      <c r="AR590" s="439">
        <f t="shared" si="572"/>
        <v>50</v>
      </c>
      <c r="AS590" s="439">
        <f t="shared" si="572"/>
        <v>36</v>
      </c>
      <c r="AT590" s="440">
        <f t="shared" si="573"/>
        <v>180</v>
      </c>
      <c r="AU590" s="439">
        <f t="shared" si="573"/>
        <v>0</v>
      </c>
      <c r="AV590" s="439"/>
      <c r="AW590" s="726"/>
      <c r="AX590" s="439"/>
      <c r="AY590" s="440">
        <f t="shared" si="575"/>
        <v>0</v>
      </c>
      <c r="AZ590" s="439"/>
      <c r="BA590" s="439"/>
      <c r="BB590" s="439"/>
      <c r="BC590" s="439"/>
      <c r="BD590" s="440">
        <f t="shared" si="576"/>
        <v>0</v>
      </c>
      <c r="BE590" s="440"/>
      <c r="BF590" s="440"/>
      <c r="BG590" s="440"/>
      <c r="BH590" s="361"/>
    </row>
    <row r="591" spans="1:60" s="356" customFormat="1" x14ac:dyDescent="0.25">
      <c r="A591" s="618" t="str">
        <f t="shared" si="556"/>
        <v>Fixed asset disposal</v>
      </c>
      <c r="B591" s="450"/>
      <c r="C591" s="440">
        <f t="shared" si="557"/>
        <v>0.38500000000000001</v>
      </c>
      <c r="D591" s="440">
        <f t="shared" si="557"/>
        <v>0</v>
      </c>
      <c r="E591" s="440">
        <f t="shared" si="557"/>
        <v>-0.112</v>
      </c>
      <c r="F591" s="440">
        <f t="shared" si="557"/>
        <v>0</v>
      </c>
      <c r="G591" s="439">
        <f t="shared" si="557"/>
        <v>0</v>
      </c>
      <c r="H591" s="439">
        <f t="shared" si="558"/>
        <v>0.155</v>
      </c>
      <c r="I591" s="439">
        <f t="shared" si="558"/>
        <v>0.86199999999999988</v>
      </c>
      <c r="J591" s="439">
        <f t="shared" si="558"/>
        <v>0.77900000000000014</v>
      </c>
      <c r="K591" s="440">
        <f t="shared" si="559"/>
        <v>1.796</v>
      </c>
      <c r="L591" s="439">
        <f t="shared" si="559"/>
        <v>0</v>
      </c>
      <c r="M591" s="439">
        <f t="shared" si="560"/>
        <v>6.3049999999999997</v>
      </c>
      <c r="N591" s="439">
        <f t="shared" si="560"/>
        <v>4.7469999999999999</v>
      </c>
      <c r="O591" s="439">
        <f t="shared" si="560"/>
        <v>3.1260000000000012</v>
      </c>
      <c r="P591" s="440">
        <f t="shared" si="561"/>
        <v>14.178000000000001</v>
      </c>
      <c r="Q591" s="439">
        <f t="shared" si="561"/>
        <v>2.7530000000000001</v>
      </c>
      <c r="R591" s="439">
        <f t="shared" si="562"/>
        <v>2.2379999999999995</v>
      </c>
      <c r="S591" s="439">
        <f t="shared" si="562"/>
        <v>3.8090000000000011</v>
      </c>
      <c r="T591" s="439">
        <f t="shared" si="562"/>
        <v>28.922999999999998</v>
      </c>
      <c r="U591" s="440">
        <f t="shared" si="563"/>
        <v>37.722999999999999</v>
      </c>
      <c r="V591" s="439">
        <f t="shared" si="563"/>
        <v>26.170999999999999</v>
      </c>
      <c r="W591" s="439">
        <f t="shared" si="564"/>
        <v>-14.607999999999999</v>
      </c>
      <c r="X591" s="439">
        <f t="shared" si="564"/>
        <v>0.61799999999999855</v>
      </c>
      <c r="Y591" s="439">
        <f t="shared" si="564"/>
        <v>22.452000000000005</v>
      </c>
      <c r="Z591" s="440">
        <f t="shared" si="565"/>
        <v>34.633000000000003</v>
      </c>
      <c r="AA591" s="439">
        <f t="shared" si="565"/>
        <v>41.12</v>
      </c>
      <c r="AB591" s="439">
        <f t="shared" si="566"/>
        <v>12.452000000000005</v>
      </c>
      <c r="AC591" s="439">
        <f t="shared" si="566"/>
        <v>6.0679999999999978</v>
      </c>
      <c r="AD591" s="439">
        <f t="shared" si="566"/>
        <v>46.129999999999995</v>
      </c>
      <c r="AE591" s="440">
        <f t="shared" si="567"/>
        <v>105.77</v>
      </c>
      <c r="AF591" s="439">
        <f t="shared" si="567"/>
        <v>52.237000000000002</v>
      </c>
      <c r="AG591" s="439">
        <f t="shared" si="568"/>
        <v>66.613</v>
      </c>
      <c r="AH591" s="439">
        <f t="shared" si="568"/>
        <v>13.789000000000016</v>
      </c>
      <c r="AI591" s="439">
        <f t="shared" si="568"/>
        <v>28.72199999999998</v>
      </c>
      <c r="AJ591" s="440">
        <f t="shared" si="569"/>
        <v>161.36099999999999</v>
      </c>
      <c r="AK591" s="439">
        <f t="shared" si="569"/>
        <v>18.420999999999999</v>
      </c>
      <c r="AL591" s="439">
        <f t="shared" si="570"/>
        <v>29.509999999999998</v>
      </c>
      <c r="AM591" s="439">
        <f t="shared" si="570"/>
        <v>21.069000000000003</v>
      </c>
      <c r="AN591" s="439">
        <f t="shared" si="570"/>
        <v>77</v>
      </c>
      <c r="AO591" s="440">
        <f t="shared" si="571"/>
        <v>146</v>
      </c>
      <c r="AP591" s="439">
        <f t="shared" si="571"/>
        <v>7</v>
      </c>
      <c r="AQ591" s="439">
        <f t="shared" si="572"/>
        <v>5</v>
      </c>
      <c r="AR591" s="439">
        <f t="shared" si="572"/>
        <v>55</v>
      </c>
      <c r="AS591" s="439">
        <f t="shared" si="572"/>
        <v>50</v>
      </c>
      <c r="AT591" s="440">
        <f t="shared" si="573"/>
        <v>117</v>
      </c>
      <c r="AU591" s="439">
        <f t="shared" si="573"/>
        <v>0</v>
      </c>
      <c r="AV591" s="439"/>
      <c r="AW591" s="726"/>
      <c r="AX591" s="439"/>
      <c r="AY591" s="440">
        <f>SUM(AU591,AV591,AW591,AX591)</f>
        <v>0</v>
      </c>
      <c r="AZ591" s="439"/>
      <c r="BA591" s="439"/>
      <c r="BB591" s="439"/>
      <c r="BC591" s="439"/>
      <c r="BD591" s="440">
        <f>SUM(AZ591,BA591,BB591,BC591)</f>
        <v>0</v>
      </c>
      <c r="BE591" s="440"/>
      <c r="BF591" s="440"/>
      <c r="BG591" s="440"/>
      <c r="BH591" s="361"/>
    </row>
    <row r="592" spans="1:60" s="356" customFormat="1" x14ac:dyDescent="0.25">
      <c r="A592" s="618" t="str">
        <f t="shared" si="556"/>
        <v>Other non-cash operating activities</v>
      </c>
      <c r="B592" s="450"/>
      <c r="C592" s="440">
        <f t="shared" si="557"/>
        <v>0</v>
      </c>
      <c r="D592" s="440">
        <f t="shared" si="557"/>
        <v>0</v>
      </c>
      <c r="E592" s="440">
        <f t="shared" si="557"/>
        <v>0</v>
      </c>
      <c r="F592" s="440">
        <f t="shared" si="557"/>
        <v>1.56</v>
      </c>
      <c r="G592" s="439">
        <f t="shared" si="557"/>
        <v>0.39</v>
      </c>
      <c r="H592" s="439">
        <f t="shared" si="558"/>
        <v>5.4999999999999993E-2</v>
      </c>
      <c r="I592" s="439">
        <f t="shared" si="558"/>
        <v>0.74299999999999988</v>
      </c>
      <c r="J592" s="439">
        <f t="shared" si="558"/>
        <v>0.627</v>
      </c>
      <c r="K592" s="440">
        <f t="shared" si="559"/>
        <v>1.8149999999999999</v>
      </c>
      <c r="L592" s="439">
        <f t="shared" si="559"/>
        <v>2.5609999999999999</v>
      </c>
      <c r="M592" s="439">
        <f t="shared" si="560"/>
        <v>1.101</v>
      </c>
      <c r="N592" s="439">
        <f t="shared" si="560"/>
        <v>0.84100000000000019</v>
      </c>
      <c r="O592" s="439">
        <f t="shared" si="560"/>
        <v>2.968</v>
      </c>
      <c r="P592" s="440">
        <f t="shared" si="561"/>
        <v>7.4710000000000001</v>
      </c>
      <c r="Q592" s="439">
        <f t="shared" si="561"/>
        <v>2.8620000000000001</v>
      </c>
      <c r="R592" s="439">
        <f t="shared" si="562"/>
        <v>3.2199999999999998</v>
      </c>
      <c r="S592" s="439">
        <f t="shared" si="562"/>
        <v>4.9289999999999994</v>
      </c>
      <c r="T592" s="439">
        <f t="shared" si="562"/>
        <v>15.362000000000002</v>
      </c>
      <c r="U592" s="440">
        <f t="shared" si="563"/>
        <v>26.373000000000001</v>
      </c>
      <c r="V592" s="439">
        <f t="shared" si="563"/>
        <v>7.1349999999999998</v>
      </c>
      <c r="W592" s="439">
        <f t="shared" si="564"/>
        <v>9.0320000000000018</v>
      </c>
      <c r="X592" s="439">
        <f t="shared" si="564"/>
        <v>5.5679999999999978</v>
      </c>
      <c r="Y592" s="439">
        <f t="shared" si="564"/>
        <v>-29.509999999999998</v>
      </c>
      <c r="Z592" s="440">
        <f t="shared" si="565"/>
        <v>-7.7750000000000004</v>
      </c>
      <c r="AA592" s="439">
        <f t="shared" si="565"/>
        <v>-5.1790000000000003</v>
      </c>
      <c r="AB592" s="439">
        <f t="shared" si="566"/>
        <v>62.202000000000005</v>
      </c>
      <c r="AC592" s="439">
        <f t="shared" si="566"/>
        <v>52.705999999999996</v>
      </c>
      <c r="AD592" s="439">
        <f t="shared" si="566"/>
        <v>25.507999999999996</v>
      </c>
      <c r="AE592" s="440">
        <f t="shared" si="567"/>
        <v>135.23699999999999</v>
      </c>
      <c r="AF592" s="439">
        <f t="shared" si="567"/>
        <v>-3.984</v>
      </c>
      <c r="AG592" s="439">
        <f t="shared" si="568"/>
        <v>9.6690000000000005</v>
      </c>
      <c r="AH592" s="439">
        <f t="shared" si="568"/>
        <v>16.408000000000001</v>
      </c>
      <c r="AI592" s="439">
        <f t="shared" si="568"/>
        <v>26.413999999999998</v>
      </c>
      <c r="AJ592" s="440">
        <f t="shared" si="569"/>
        <v>48.506999999999998</v>
      </c>
      <c r="AK592" s="439">
        <f t="shared" si="569"/>
        <v>116.05</v>
      </c>
      <c r="AL592" s="439">
        <f t="shared" si="570"/>
        <v>42.649000000000015</v>
      </c>
      <c r="AM592" s="439">
        <f t="shared" si="570"/>
        <v>30.300999999999988</v>
      </c>
      <c r="AN592" s="439">
        <f t="shared" si="570"/>
        <v>-3</v>
      </c>
      <c r="AO592" s="440">
        <f t="shared" si="571"/>
        <v>186</v>
      </c>
      <c r="AP592" s="439">
        <f t="shared" si="571"/>
        <v>58</v>
      </c>
      <c r="AQ592" s="439">
        <f t="shared" si="572"/>
        <v>52</v>
      </c>
      <c r="AR592" s="439">
        <f t="shared" si="572"/>
        <v>6</v>
      </c>
      <c r="AS592" s="439">
        <f t="shared" si="572"/>
        <v>112</v>
      </c>
      <c r="AT592" s="440">
        <f t="shared" si="573"/>
        <v>228</v>
      </c>
      <c r="AU592" s="439">
        <f t="shared" si="573"/>
        <v>8</v>
      </c>
      <c r="AV592" s="439"/>
      <c r="AW592" s="726"/>
      <c r="AX592" s="439"/>
      <c r="AY592" s="440">
        <f>SUM(AU592,AV592,AW592,AX592)</f>
        <v>8</v>
      </c>
      <c r="AZ592" s="439"/>
      <c r="BA592" s="439"/>
      <c r="BB592" s="439"/>
      <c r="BC592" s="439"/>
      <c r="BD592" s="440">
        <f>SUM(AZ592,BA592,BB592,BC592)</f>
        <v>0</v>
      </c>
      <c r="BE592" s="440"/>
      <c r="BF592" s="440"/>
      <c r="BG592" s="440"/>
      <c r="BH592" s="361"/>
    </row>
    <row r="593" spans="1:60" s="356" customFormat="1" x14ac:dyDescent="0.25">
      <c r="A593" s="463" t="str">
        <f t="shared" si="556"/>
        <v>Non-cash interest and other operating activities</v>
      </c>
      <c r="B593" s="552"/>
      <c r="C593" s="478">
        <f t="shared" ref="C593:AT593" si="580">SUM(C590:C592)</f>
        <v>3.0709999999999997</v>
      </c>
      <c r="D593" s="478">
        <f t="shared" si="580"/>
        <v>8.0000000000000002E-3</v>
      </c>
      <c r="E593" s="478">
        <f t="shared" si="580"/>
        <v>0.23299999999999998</v>
      </c>
      <c r="F593" s="478">
        <f t="shared" si="580"/>
        <v>1.56</v>
      </c>
      <c r="G593" s="464">
        <f t="shared" si="580"/>
        <v>0.39</v>
      </c>
      <c r="H593" s="464">
        <f t="shared" si="580"/>
        <v>1.792</v>
      </c>
      <c r="I593" s="464">
        <f t="shared" si="580"/>
        <v>5.3670000000000009</v>
      </c>
      <c r="J593" s="464">
        <f t="shared" si="580"/>
        <v>5.2050000000000001</v>
      </c>
      <c r="K593" s="478">
        <f t="shared" si="580"/>
        <v>12.754</v>
      </c>
      <c r="L593" s="464">
        <f t="shared" si="580"/>
        <v>11.054</v>
      </c>
      <c r="M593" s="464">
        <f t="shared" si="580"/>
        <v>31.014999999999993</v>
      </c>
      <c r="N593" s="464">
        <f t="shared" si="580"/>
        <v>29.120000000000005</v>
      </c>
      <c r="O593" s="464">
        <f t="shared" si="580"/>
        <v>20.193999999999996</v>
      </c>
      <c r="P593" s="478">
        <f t="shared" si="580"/>
        <v>91.382999999999996</v>
      </c>
      <c r="Q593" s="464">
        <f t="shared" si="580"/>
        <v>23.555999999999997</v>
      </c>
      <c r="R593" s="464">
        <f t="shared" si="580"/>
        <v>21.229000000000003</v>
      </c>
      <c r="S593" s="464">
        <f t="shared" si="580"/>
        <v>26.401999999999994</v>
      </c>
      <c r="T593" s="464">
        <f t="shared" si="580"/>
        <v>64.972000000000008</v>
      </c>
      <c r="U593" s="478">
        <f t="shared" si="580"/>
        <v>136.15899999999999</v>
      </c>
      <c r="V593" s="464">
        <f t="shared" si="580"/>
        <v>53.918999999999997</v>
      </c>
      <c r="W593" s="464">
        <f t="shared" si="580"/>
        <v>15.507000000000001</v>
      </c>
      <c r="X593" s="464">
        <f t="shared" si="580"/>
        <v>28.413999999999998</v>
      </c>
      <c r="Y593" s="464">
        <f t="shared" si="580"/>
        <v>16.304000000000009</v>
      </c>
      <c r="Z593" s="478">
        <f t="shared" si="580"/>
        <v>114.14400000000001</v>
      </c>
      <c r="AA593" s="464">
        <f t="shared" si="580"/>
        <v>66.277999999999992</v>
      </c>
      <c r="AB593" s="464">
        <f t="shared" si="580"/>
        <v>108.468</v>
      </c>
      <c r="AC593" s="464">
        <f t="shared" si="580"/>
        <v>55.235999999999997</v>
      </c>
      <c r="AD593" s="464">
        <f t="shared" si="580"/>
        <v>102.062</v>
      </c>
      <c r="AE593" s="478">
        <f t="shared" si="580"/>
        <v>332.04399999999998</v>
      </c>
      <c r="AF593" s="464">
        <f t="shared" si="580"/>
        <v>87.597999999999999</v>
      </c>
      <c r="AG593" s="464">
        <f t="shared" si="580"/>
        <v>111.35599999999999</v>
      </c>
      <c r="AH593" s="464">
        <f t="shared" si="580"/>
        <v>76.651000000000025</v>
      </c>
      <c r="AI593" s="464">
        <f t="shared" si="580"/>
        <v>92.992999999999967</v>
      </c>
      <c r="AJ593" s="478">
        <f t="shared" si="580"/>
        <v>368.59800000000001</v>
      </c>
      <c r="AK593" s="464">
        <f t="shared" si="580"/>
        <v>174.57900000000001</v>
      </c>
      <c r="AL593" s="464">
        <f t="shared" si="580"/>
        <v>114.17400000000002</v>
      </c>
      <c r="AM593" s="464">
        <f t="shared" si="580"/>
        <v>107.24699999999999</v>
      </c>
      <c r="AN593" s="464">
        <f t="shared" si="580"/>
        <v>124</v>
      </c>
      <c r="AO593" s="478">
        <f t="shared" si="580"/>
        <v>520</v>
      </c>
      <c r="AP593" s="464">
        <f t="shared" si="580"/>
        <v>111</v>
      </c>
      <c r="AQ593" s="464">
        <f t="shared" si="580"/>
        <v>105</v>
      </c>
      <c r="AR593" s="464">
        <f t="shared" si="580"/>
        <v>111</v>
      </c>
      <c r="AS593" s="464">
        <f t="shared" si="580"/>
        <v>198</v>
      </c>
      <c r="AT593" s="478">
        <f t="shared" si="580"/>
        <v>525</v>
      </c>
      <c r="AU593" s="464">
        <f>SUM(AU590:AU592)</f>
        <v>8</v>
      </c>
      <c r="AV593" s="464">
        <f>AV503-AU503</f>
        <v>52</v>
      </c>
      <c r="AW593" s="738">
        <f>AW503-AV503</f>
        <v>153</v>
      </c>
      <c r="AX593" s="464"/>
      <c r="AY593" s="478">
        <f t="shared" si="575"/>
        <v>213</v>
      </c>
      <c r="AZ593" s="464"/>
      <c r="BA593" s="464"/>
      <c r="BB593" s="464"/>
      <c r="BC593" s="464"/>
      <c r="BD593" s="478">
        <f t="shared" si="576"/>
        <v>0</v>
      </c>
      <c r="BE593" s="478"/>
      <c r="BF593" s="478"/>
      <c r="BG593" s="478"/>
      <c r="BH593" s="361"/>
    </row>
    <row r="594" spans="1:60" s="356" customFormat="1" x14ac:dyDescent="0.25">
      <c r="A594" s="526" t="str">
        <f t="shared" si="556"/>
        <v>Amortization of Department of Energy (DOE) loan origination costs</v>
      </c>
      <c r="B594" s="450"/>
      <c r="C594" s="440">
        <f t="shared" ref="C594:G599" si="581">C504</f>
        <v>0</v>
      </c>
      <c r="D594" s="440">
        <f t="shared" si="581"/>
        <v>0</v>
      </c>
      <c r="E594" s="440">
        <f t="shared" si="581"/>
        <v>0</v>
      </c>
      <c r="F594" s="440">
        <f t="shared" si="581"/>
        <v>0</v>
      </c>
      <c r="G594" s="439">
        <f t="shared" si="581"/>
        <v>0</v>
      </c>
      <c r="H594" s="439">
        <f t="shared" ref="H594:J599" si="582">H504-G504</f>
        <v>5.5579999999999998</v>
      </c>
      <c r="I594" s="439">
        <f t="shared" si="582"/>
        <v>0</v>
      </c>
      <c r="J594" s="439">
        <f t="shared" si="582"/>
        <v>0</v>
      </c>
      <c r="K594" s="440">
        <f t="shared" ref="K594:L599" si="583">K504</f>
        <v>5.5579999999999998</v>
      </c>
      <c r="L594" s="439">
        <f t="shared" si="583"/>
        <v>0</v>
      </c>
      <c r="M594" s="439">
        <f t="shared" ref="M594:O599" si="584">M504-L504</f>
        <v>0</v>
      </c>
      <c r="N594" s="439">
        <f t="shared" si="584"/>
        <v>0</v>
      </c>
      <c r="O594" s="439">
        <f t="shared" si="584"/>
        <v>0</v>
      </c>
      <c r="P594" s="440">
        <f t="shared" ref="P594:Q599" si="585">P504</f>
        <v>0</v>
      </c>
      <c r="Q594" s="439">
        <f t="shared" si="585"/>
        <v>0</v>
      </c>
      <c r="R594" s="439">
        <f t="shared" ref="R594:T599" si="586">R504-Q504</f>
        <v>0</v>
      </c>
      <c r="S594" s="439">
        <f t="shared" si="586"/>
        <v>0</v>
      </c>
      <c r="T594" s="439">
        <f t="shared" si="586"/>
        <v>0</v>
      </c>
      <c r="U594" s="440">
        <f t="shared" ref="U594:V599" si="587">U504</f>
        <v>0</v>
      </c>
      <c r="V594" s="439">
        <f t="shared" si="587"/>
        <v>0</v>
      </c>
      <c r="W594" s="439">
        <f t="shared" ref="W594:Y599" si="588">W504-V504</f>
        <v>0</v>
      </c>
      <c r="X594" s="439">
        <f t="shared" si="588"/>
        <v>0</v>
      </c>
      <c r="Y594" s="439">
        <f t="shared" si="588"/>
        <v>0</v>
      </c>
      <c r="Z594" s="440">
        <f t="shared" ref="Z594:AA599" si="589">Z504</f>
        <v>0</v>
      </c>
      <c r="AA594" s="439">
        <f t="shared" si="589"/>
        <v>0</v>
      </c>
      <c r="AB594" s="439">
        <f t="shared" ref="AB594:AD599" si="590">AB504-AA504</f>
        <v>0</v>
      </c>
      <c r="AC594" s="439">
        <f t="shared" si="590"/>
        <v>0</v>
      </c>
      <c r="AD594" s="439">
        <f t="shared" si="590"/>
        <v>0</v>
      </c>
      <c r="AE594" s="440">
        <f t="shared" ref="AE594:AF599" si="591">AE504</f>
        <v>0</v>
      </c>
      <c r="AF594" s="439">
        <f t="shared" si="591"/>
        <v>0</v>
      </c>
      <c r="AG594" s="439">
        <f t="shared" ref="AG594:AI599" si="592">AG504-AF504</f>
        <v>0</v>
      </c>
      <c r="AH594" s="439">
        <f t="shared" si="592"/>
        <v>0</v>
      </c>
      <c r="AI594" s="439">
        <f t="shared" si="592"/>
        <v>0</v>
      </c>
      <c r="AJ594" s="440">
        <f>AJ504</f>
        <v>0</v>
      </c>
      <c r="AK594" s="439">
        <f>AK504</f>
        <v>0</v>
      </c>
      <c r="AL594" s="439">
        <f t="shared" ref="AL594:AN595" si="593">AL504-AK504</f>
        <v>0</v>
      </c>
      <c r="AM594" s="439">
        <f t="shared" si="593"/>
        <v>0</v>
      </c>
      <c r="AN594" s="439">
        <f t="shared" si="593"/>
        <v>0</v>
      </c>
      <c r="AO594" s="440">
        <f>AO504</f>
        <v>0</v>
      </c>
      <c r="AP594" s="439">
        <f>AP504</f>
        <v>0</v>
      </c>
      <c r="AQ594" s="439">
        <f t="shared" ref="AQ594:AS595" si="594">AQ504-AP504</f>
        <v>0</v>
      </c>
      <c r="AR594" s="439">
        <f t="shared" si="594"/>
        <v>0</v>
      </c>
      <c r="AS594" s="439">
        <f t="shared" si="594"/>
        <v>0</v>
      </c>
      <c r="AT594" s="440">
        <f>AT504</f>
        <v>0</v>
      </c>
      <c r="AU594" s="439">
        <f>AU504</f>
        <v>0</v>
      </c>
      <c r="AV594" s="439">
        <f>AV504-AU504</f>
        <v>0</v>
      </c>
      <c r="AW594" s="726">
        <f t="shared" ref="AW594:AW595" si="595">AW504-AV504</f>
        <v>0</v>
      </c>
      <c r="AX594" s="439"/>
      <c r="AY594" s="440">
        <f t="shared" si="575"/>
        <v>0</v>
      </c>
      <c r="AZ594" s="439"/>
      <c r="BA594" s="439"/>
      <c r="BB594" s="439"/>
      <c r="BC594" s="439"/>
      <c r="BD594" s="440">
        <f t="shared" si="576"/>
        <v>0</v>
      </c>
      <c r="BE594" s="440"/>
      <c r="BF594" s="440"/>
      <c r="BG594" s="440"/>
      <c r="BH594" s="361"/>
    </row>
    <row r="595" spans="1:60" s="356" customFormat="1" x14ac:dyDescent="0.25">
      <c r="A595" s="526" t="str">
        <f t="shared" si="556"/>
        <v>Change in fair value of DOE warrant liability</v>
      </c>
      <c r="B595" s="450"/>
      <c r="C595" s="440">
        <f t="shared" si="581"/>
        <v>1.1279999999999999</v>
      </c>
      <c r="D595" s="440">
        <f t="shared" si="581"/>
        <v>5.0220000000000002</v>
      </c>
      <c r="E595" s="440">
        <f t="shared" si="581"/>
        <v>2.75</v>
      </c>
      <c r="F595" s="440">
        <f t="shared" si="581"/>
        <v>1.8540000000000001</v>
      </c>
      <c r="G595" s="439">
        <f t="shared" si="581"/>
        <v>-10.692</v>
      </c>
      <c r="H595" s="439">
        <f t="shared" si="582"/>
        <v>0</v>
      </c>
      <c r="I595" s="439">
        <f t="shared" si="582"/>
        <v>0</v>
      </c>
      <c r="J595" s="439">
        <f t="shared" si="582"/>
        <v>0</v>
      </c>
      <c r="K595" s="440">
        <f t="shared" si="583"/>
        <v>-10.692</v>
      </c>
      <c r="L595" s="439">
        <f t="shared" si="583"/>
        <v>0</v>
      </c>
      <c r="M595" s="439">
        <f t="shared" si="584"/>
        <v>0</v>
      </c>
      <c r="N595" s="439">
        <f t="shared" si="584"/>
        <v>0</v>
      </c>
      <c r="O595" s="439">
        <f t="shared" si="584"/>
        <v>0</v>
      </c>
      <c r="P595" s="440">
        <f t="shared" si="585"/>
        <v>0</v>
      </c>
      <c r="Q595" s="439">
        <f t="shared" si="585"/>
        <v>0</v>
      </c>
      <c r="R595" s="439">
        <f t="shared" si="586"/>
        <v>0</v>
      </c>
      <c r="S595" s="439">
        <f t="shared" si="586"/>
        <v>0</v>
      </c>
      <c r="T595" s="439">
        <f t="shared" si="586"/>
        <v>0</v>
      </c>
      <c r="U595" s="440">
        <f t="shared" si="587"/>
        <v>0</v>
      </c>
      <c r="V595" s="439">
        <f t="shared" si="587"/>
        <v>0</v>
      </c>
      <c r="W595" s="439">
        <f t="shared" si="588"/>
        <v>0</v>
      </c>
      <c r="X595" s="439">
        <f t="shared" si="588"/>
        <v>0</v>
      </c>
      <c r="Y595" s="439">
        <f t="shared" si="588"/>
        <v>0</v>
      </c>
      <c r="Z595" s="440">
        <f t="shared" si="589"/>
        <v>0</v>
      </c>
      <c r="AA595" s="439">
        <f t="shared" si="589"/>
        <v>0</v>
      </c>
      <c r="AB595" s="439">
        <f t="shared" si="590"/>
        <v>0</v>
      </c>
      <c r="AC595" s="439">
        <f t="shared" si="590"/>
        <v>0</v>
      </c>
      <c r="AD595" s="439">
        <f t="shared" si="590"/>
        <v>0</v>
      </c>
      <c r="AE595" s="440">
        <f t="shared" si="591"/>
        <v>0</v>
      </c>
      <c r="AF595" s="439">
        <f t="shared" si="591"/>
        <v>0</v>
      </c>
      <c r="AG595" s="439">
        <f t="shared" si="592"/>
        <v>0</v>
      </c>
      <c r="AH595" s="439">
        <f t="shared" si="592"/>
        <v>0</v>
      </c>
      <c r="AI595" s="439">
        <f t="shared" si="592"/>
        <v>0</v>
      </c>
      <c r="AJ595" s="440">
        <f>AJ505</f>
        <v>0</v>
      </c>
      <c r="AK595" s="439">
        <f>AK505</f>
        <v>0</v>
      </c>
      <c r="AL595" s="439">
        <f t="shared" si="593"/>
        <v>0</v>
      </c>
      <c r="AM595" s="439">
        <f t="shared" si="593"/>
        <v>0</v>
      </c>
      <c r="AN595" s="439">
        <f t="shared" si="593"/>
        <v>0</v>
      </c>
      <c r="AO595" s="440">
        <f>AO505</f>
        <v>0</v>
      </c>
      <c r="AP595" s="439">
        <f>AP505</f>
        <v>0</v>
      </c>
      <c r="AQ595" s="439">
        <f t="shared" si="594"/>
        <v>0</v>
      </c>
      <c r="AR595" s="439">
        <f t="shared" si="594"/>
        <v>0</v>
      </c>
      <c r="AS595" s="439">
        <f t="shared" si="594"/>
        <v>0</v>
      </c>
      <c r="AT595" s="440">
        <f>AT505</f>
        <v>0</v>
      </c>
      <c r="AU595" s="439">
        <f>AU505</f>
        <v>0</v>
      </c>
      <c r="AV595" s="439">
        <f>AV505-AU505</f>
        <v>0</v>
      </c>
      <c r="AW595" s="726">
        <f t="shared" si="595"/>
        <v>0</v>
      </c>
      <c r="AX595" s="439"/>
      <c r="AY595" s="440">
        <f t="shared" si="575"/>
        <v>0</v>
      </c>
      <c r="AZ595" s="439"/>
      <c r="BA595" s="439"/>
      <c r="BB595" s="439"/>
      <c r="BC595" s="439"/>
      <c r="BD595" s="440">
        <f t="shared" si="576"/>
        <v>0</v>
      </c>
      <c r="BE595" s="440"/>
      <c r="BF595" s="440"/>
      <c r="BG595" s="440"/>
      <c r="BH595" s="361"/>
    </row>
    <row r="596" spans="1:60" s="356" customFormat="1" x14ac:dyDescent="0.25">
      <c r="A596" s="526" t="str">
        <f t="shared" si="556"/>
        <v>Gain on extinguishment of convertible notes and warrants</v>
      </c>
      <c r="B596" s="450"/>
      <c r="C596" s="440">
        <f t="shared" si="581"/>
        <v>-1.468</v>
      </c>
      <c r="D596" s="440">
        <f t="shared" si="581"/>
        <v>0</v>
      </c>
      <c r="E596" s="440">
        <f t="shared" si="581"/>
        <v>0</v>
      </c>
      <c r="F596" s="440">
        <f t="shared" si="581"/>
        <v>0</v>
      </c>
      <c r="G596" s="439">
        <f t="shared" si="581"/>
        <v>0</v>
      </c>
      <c r="H596" s="439">
        <f t="shared" si="582"/>
        <v>0</v>
      </c>
      <c r="I596" s="439">
        <f t="shared" si="582"/>
        <v>0</v>
      </c>
      <c r="J596" s="439">
        <f t="shared" si="582"/>
        <v>0</v>
      </c>
      <c r="K596" s="440">
        <f t="shared" si="583"/>
        <v>0</v>
      </c>
      <c r="L596" s="439">
        <f t="shared" si="583"/>
        <v>0</v>
      </c>
      <c r="M596" s="439">
        <f t="shared" si="584"/>
        <v>0</v>
      </c>
      <c r="N596" s="439">
        <f t="shared" si="584"/>
        <v>0</v>
      </c>
      <c r="O596" s="439">
        <f t="shared" si="584"/>
        <v>0</v>
      </c>
      <c r="P596" s="440">
        <f t="shared" si="585"/>
        <v>0</v>
      </c>
      <c r="Q596" s="439">
        <f t="shared" si="585"/>
        <v>0</v>
      </c>
      <c r="R596" s="439">
        <f t="shared" si="586"/>
        <v>0</v>
      </c>
      <c r="S596" s="439">
        <f t="shared" si="586"/>
        <v>0</v>
      </c>
      <c r="T596" s="439">
        <f t="shared" si="586"/>
        <v>0</v>
      </c>
      <c r="U596" s="440">
        <f t="shared" si="587"/>
        <v>0</v>
      </c>
      <c r="V596" s="439">
        <f t="shared" si="587"/>
        <v>0</v>
      </c>
      <c r="W596" s="439">
        <f t="shared" si="588"/>
        <v>0</v>
      </c>
      <c r="X596" s="439">
        <f t="shared" si="588"/>
        <v>0</v>
      </c>
      <c r="Y596" s="439">
        <f t="shared" si="588"/>
        <v>0</v>
      </c>
      <c r="Z596" s="440">
        <f t="shared" si="589"/>
        <v>0</v>
      </c>
      <c r="AA596" s="439">
        <f t="shared" si="589"/>
        <v>0</v>
      </c>
      <c r="AB596" s="439">
        <f t="shared" si="590"/>
        <v>0</v>
      </c>
      <c r="AC596" s="439">
        <f t="shared" si="590"/>
        <v>0</v>
      </c>
      <c r="AD596" s="439">
        <f t="shared" si="590"/>
        <v>0</v>
      </c>
      <c r="AE596" s="440">
        <f t="shared" si="591"/>
        <v>0</v>
      </c>
      <c r="AF596" s="439">
        <f t="shared" si="591"/>
        <v>0</v>
      </c>
      <c r="AG596" s="439">
        <f t="shared" si="592"/>
        <v>0</v>
      </c>
      <c r="AH596" s="439">
        <f t="shared" si="592"/>
        <v>0</v>
      </c>
      <c r="AI596" s="439">
        <f t="shared" si="592"/>
        <v>0</v>
      </c>
      <c r="AJ596" s="440">
        <f>AJ506</f>
        <v>0</v>
      </c>
      <c r="AK596" s="439"/>
      <c r="AL596" s="439"/>
      <c r="AM596" s="439">
        <f t="shared" ref="AM596:AN599" si="596">AM506-AL506</f>
        <v>0</v>
      </c>
      <c r="AN596" s="439">
        <f t="shared" si="596"/>
        <v>0</v>
      </c>
      <c r="AO596" s="440">
        <f>AO506</f>
        <v>0</v>
      </c>
      <c r="AP596" s="439"/>
      <c r="AQ596" s="439"/>
      <c r="AR596" s="439"/>
      <c r="AS596" s="439">
        <f>AS506-AR506</f>
        <v>0</v>
      </c>
      <c r="AT596" s="440">
        <f>AT506</f>
        <v>0</v>
      </c>
      <c r="AU596" s="439"/>
      <c r="AV596" s="439"/>
      <c r="AW596" s="726"/>
      <c r="AX596" s="439"/>
      <c r="AY596" s="440">
        <f t="shared" si="575"/>
        <v>0</v>
      </c>
      <c r="AZ596" s="439"/>
      <c r="BA596" s="439"/>
      <c r="BB596" s="439"/>
      <c r="BC596" s="439"/>
      <c r="BD596" s="440">
        <f t="shared" si="576"/>
        <v>0</v>
      </c>
      <c r="BE596" s="440"/>
      <c r="BF596" s="440"/>
      <c r="BG596" s="440"/>
      <c r="BH596" s="361"/>
    </row>
    <row r="597" spans="1:60" s="356" customFormat="1" x14ac:dyDescent="0.25">
      <c r="A597" s="526" t="str">
        <f t="shared" si="556"/>
        <v>Digital assets gain, net</v>
      </c>
      <c r="B597" s="450"/>
      <c r="C597" s="440">
        <f t="shared" si="581"/>
        <v>0</v>
      </c>
      <c r="D597" s="440">
        <f t="shared" si="581"/>
        <v>0</v>
      </c>
      <c r="E597" s="440">
        <f t="shared" si="581"/>
        <v>0</v>
      </c>
      <c r="F597" s="440">
        <f t="shared" si="581"/>
        <v>0</v>
      </c>
      <c r="G597" s="439">
        <f t="shared" si="581"/>
        <v>0</v>
      </c>
      <c r="H597" s="439">
        <f t="shared" si="582"/>
        <v>0</v>
      </c>
      <c r="I597" s="439">
        <f t="shared" si="582"/>
        <v>0</v>
      </c>
      <c r="J597" s="439">
        <f t="shared" si="582"/>
        <v>0</v>
      </c>
      <c r="K597" s="440">
        <f t="shared" si="583"/>
        <v>0</v>
      </c>
      <c r="L597" s="439">
        <f t="shared" si="583"/>
        <v>0</v>
      </c>
      <c r="M597" s="439">
        <f t="shared" si="584"/>
        <v>0</v>
      </c>
      <c r="N597" s="439">
        <f t="shared" si="584"/>
        <v>0</v>
      </c>
      <c r="O597" s="439">
        <f t="shared" si="584"/>
        <v>0</v>
      </c>
      <c r="P597" s="440">
        <f t="shared" si="585"/>
        <v>0</v>
      </c>
      <c r="Q597" s="439">
        <f t="shared" si="585"/>
        <v>0</v>
      </c>
      <c r="R597" s="439">
        <f t="shared" si="586"/>
        <v>0</v>
      </c>
      <c r="S597" s="439">
        <f t="shared" si="586"/>
        <v>0</v>
      </c>
      <c r="T597" s="439">
        <f t="shared" si="586"/>
        <v>0</v>
      </c>
      <c r="U597" s="440">
        <f t="shared" si="587"/>
        <v>0</v>
      </c>
      <c r="V597" s="439">
        <f t="shared" si="587"/>
        <v>0</v>
      </c>
      <c r="W597" s="439">
        <f t="shared" si="588"/>
        <v>0</v>
      </c>
      <c r="X597" s="439">
        <f t="shared" si="588"/>
        <v>0</v>
      </c>
      <c r="Y597" s="439">
        <f t="shared" si="588"/>
        <v>0</v>
      </c>
      <c r="Z597" s="440">
        <f t="shared" si="589"/>
        <v>0</v>
      </c>
      <c r="AA597" s="439">
        <f t="shared" si="589"/>
        <v>0</v>
      </c>
      <c r="AB597" s="439">
        <f t="shared" si="590"/>
        <v>0</v>
      </c>
      <c r="AC597" s="439">
        <f t="shared" si="590"/>
        <v>0</v>
      </c>
      <c r="AD597" s="439">
        <f t="shared" si="590"/>
        <v>0</v>
      </c>
      <c r="AE597" s="440">
        <f t="shared" si="591"/>
        <v>0</v>
      </c>
      <c r="AF597" s="439">
        <f t="shared" si="591"/>
        <v>0</v>
      </c>
      <c r="AG597" s="439">
        <f t="shared" si="592"/>
        <v>0</v>
      </c>
      <c r="AH597" s="439">
        <f t="shared" si="592"/>
        <v>0</v>
      </c>
      <c r="AI597" s="439">
        <f t="shared" si="592"/>
        <v>0</v>
      </c>
      <c r="AJ597" s="440">
        <f>AJ507</f>
        <v>0</v>
      </c>
      <c r="AK597" s="439">
        <f>AK507</f>
        <v>0</v>
      </c>
      <c r="AL597" s="439">
        <f>AL507-AK507</f>
        <v>0</v>
      </c>
      <c r="AM597" s="439">
        <f t="shared" si="596"/>
        <v>0</v>
      </c>
      <c r="AN597" s="439">
        <f t="shared" si="596"/>
        <v>0</v>
      </c>
      <c r="AO597" s="440">
        <f>AO507</f>
        <v>0</v>
      </c>
      <c r="AP597" s="439">
        <f>AP507</f>
        <v>0</v>
      </c>
      <c r="AQ597" s="439">
        <f t="shared" ref="AQ597:AR599" si="597">AQ507-AP507</f>
        <v>0</v>
      </c>
      <c r="AR597" s="439">
        <f t="shared" si="597"/>
        <v>0</v>
      </c>
      <c r="AS597" s="439">
        <f>AS507-AR507</f>
        <v>0</v>
      </c>
      <c r="AT597" s="440">
        <f>AT507</f>
        <v>0</v>
      </c>
      <c r="AU597" s="439">
        <f>AU507</f>
        <v>-101</v>
      </c>
      <c r="AV597" s="439">
        <f t="shared" ref="AV597:AW599" si="598">AV507-AU507</f>
        <v>23</v>
      </c>
      <c r="AW597" s="726">
        <f t="shared" si="598"/>
        <v>51</v>
      </c>
      <c r="AX597" s="439"/>
      <c r="AY597" s="440">
        <f t="shared" si="575"/>
        <v>-27</v>
      </c>
      <c r="AZ597" s="439"/>
      <c r="BA597" s="439"/>
      <c r="BB597" s="439"/>
      <c r="BC597" s="439"/>
      <c r="BD597" s="440">
        <f t="shared" si="576"/>
        <v>0</v>
      </c>
      <c r="BE597" s="440"/>
      <c r="BF597" s="440"/>
      <c r="BG597" s="440"/>
      <c r="BH597" s="361"/>
    </row>
    <row r="598" spans="1:60" s="356" customFormat="1" x14ac:dyDescent="0.25">
      <c r="A598" s="526" t="str">
        <f t="shared" si="556"/>
        <v>Deferred taxes</v>
      </c>
      <c r="B598" s="450"/>
      <c r="C598" s="440">
        <f t="shared" si="581"/>
        <v>0</v>
      </c>
      <c r="D598" s="440">
        <f t="shared" si="581"/>
        <v>0</v>
      </c>
      <c r="E598" s="440">
        <f t="shared" si="581"/>
        <v>0</v>
      </c>
      <c r="F598" s="440">
        <f t="shared" si="581"/>
        <v>0</v>
      </c>
      <c r="G598" s="439">
        <f t="shared" si="581"/>
        <v>0</v>
      </c>
      <c r="H598" s="439">
        <f t="shared" si="582"/>
        <v>0</v>
      </c>
      <c r="I598" s="439">
        <f t="shared" si="582"/>
        <v>0</v>
      </c>
      <c r="J598" s="439">
        <f t="shared" si="582"/>
        <v>0</v>
      </c>
      <c r="K598" s="440">
        <f t="shared" si="583"/>
        <v>0</v>
      </c>
      <c r="L598" s="439">
        <f t="shared" si="583"/>
        <v>0</v>
      </c>
      <c r="M598" s="439">
        <f t="shared" si="584"/>
        <v>0</v>
      </c>
      <c r="N598" s="439">
        <f t="shared" si="584"/>
        <v>0</v>
      </c>
      <c r="O598" s="439">
        <f t="shared" si="584"/>
        <v>0</v>
      </c>
      <c r="P598" s="440">
        <f t="shared" si="585"/>
        <v>0</v>
      </c>
      <c r="Q598" s="439">
        <f t="shared" si="585"/>
        <v>0</v>
      </c>
      <c r="R598" s="439">
        <f t="shared" si="586"/>
        <v>0</v>
      </c>
      <c r="S598" s="439">
        <f t="shared" si="586"/>
        <v>0</v>
      </c>
      <c r="T598" s="439">
        <f t="shared" si="586"/>
        <v>0</v>
      </c>
      <c r="U598" s="440">
        <f t="shared" si="587"/>
        <v>0</v>
      </c>
      <c r="V598" s="439">
        <f t="shared" si="587"/>
        <v>0</v>
      </c>
      <c r="W598" s="439">
        <f t="shared" si="588"/>
        <v>0</v>
      </c>
      <c r="X598" s="439">
        <f t="shared" si="588"/>
        <v>0</v>
      </c>
      <c r="Y598" s="439">
        <f t="shared" si="588"/>
        <v>0</v>
      </c>
      <c r="Z598" s="440">
        <f t="shared" si="589"/>
        <v>0</v>
      </c>
      <c r="AA598" s="439">
        <f t="shared" si="589"/>
        <v>0</v>
      </c>
      <c r="AB598" s="439">
        <f t="shared" si="590"/>
        <v>0</v>
      </c>
      <c r="AC598" s="439">
        <f t="shared" si="590"/>
        <v>0</v>
      </c>
      <c r="AD598" s="439">
        <f t="shared" si="590"/>
        <v>0</v>
      </c>
      <c r="AE598" s="440">
        <f t="shared" si="591"/>
        <v>0</v>
      </c>
      <c r="AF598" s="439">
        <f t="shared" si="591"/>
        <v>0</v>
      </c>
      <c r="AG598" s="439">
        <f t="shared" si="592"/>
        <v>0</v>
      </c>
      <c r="AH598" s="439">
        <f t="shared" si="592"/>
        <v>0</v>
      </c>
      <c r="AI598" s="439">
        <f t="shared" si="592"/>
        <v>0</v>
      </c>
      <c r="AJ598" s="440">
        <f>AJ508</f>
        <v>0</v>
      </c>
      <c r="AK598" s="439">
        <f>AK508</f>
        <v>0</v>
      </c>
      <c r="AL598" s="439">
        <f>AL508-AK508</f>
        <v>0</v>
      </c>
      <c r="AM598" s="439">
        <f t="shared" si="596"/>
        <v>0</v>
      </c>
      <c r="AN598" s="439">
        <f t="shared" si="596"/>
        <v>0</v>
      </c>
      <c r="AO598" s="440">
        <f>AO508</f>
        <v>0</v>
      </c>
      <c r="AP598" s="439">
        <f>AP508</f>
        <v>0</v>
      </c>
      <c r="AQ598" s="361">
        <f t="shared" si="597"/>
        <v>0</v>
      </c>
      <c r="AR598" s="439">
        <f t="shared" si="597"/>
        <v>0</v>
      </c>
      <c r="AS598" s="439">
        <f>AS508-AR508</f>
        <v>0</v>
      </c>
      <c r="AT598" s="440">
        <f>AT508</f>
        <v>0</v>
      </c>
      <c r="AU598" s="361">
        <f>AU508</f>
        <v>0</v>
      </c>
      <c r="AV598" s="361">
        <f t="shared" si="598"/>
        <v>0</v>
      </c>
      <c r="AW598" s="726">
        <f t="shared" si="598"/>
        <v>0</v>
      </c>
      <c r="AX598" s="439">
        <f>AX407</f>
        <v>0</v>
      </c>
      <c r="AY598" s="440">
        <f t="shared" si="575"/>
        <v>0</v>
      </c>
      <c r="AZ598" s="439">
        <f ca="1">AZ407</f>
        <v>0</v>
      </c>
      <c r="BA598" s="439">
        <f ca="1">BA407</f>
        <v>0</v>
      </c>
      <c r="BB598" s="439">
        <f ca="1">BB407</f>
        <v>0</v>
      </c>
      <c r="BC598" s="439">
        <f ca="1">BC407</f>
        <v>0</v>
      </c>
      <c r="BD598" s="440">
        <f t="shared" ca="1" si="576"/>
        <v>0</v>
      </c>
      <c r="BE598" s="440">
        <f ca="1">BE407</f>
        <v>0</v>
      </c>
      <c r="BF598" s="440">
        <f ca="1">BF407</f>
        <v>0</v>
      </c>
      <c r="BG598" s="440">
        <f ca="1">BG407</f>
        <v>0</v>
      </c>
      <c r="BH598" s="361"/>
    </row>
    <row r="599" spans="1:60" s="356" customFormat="1" x14ac:dyDescent="0.25">
      <c r="A599" s="526" t="str">
        <f t="shared" si="556"/>
        <v>Foreign currency transaction (gain) loss</v>
      </c>
      <c r="B599" s="450"/>
      <c r="C599" s="440">
        <f t="shared" si="581"/>
        <v>0</v>
      </c>
      <c r="D599" s="440">
        <f t="shared" si="581"/>
        <v>0</v>
      </c>
      <c r="E599" s="440">
        <f t="shared" si="581"/>
        <v>0</v>
      </c>
      <c r="F599" s="440">
        <f t="shared" si="581"/>
        <v>0</v>
      </c>
      <c r="G599" s="439">
        <f t="shared" si="581"/>
        <v>0</v>
      </c>
      <c r="H599" s="439">
        <f t="shared" si="582"/>
        <v>4.3019999999999996</v>
      </c>
      <c r="I599" s="439">
        <f t="shared" si="582"/>
        <v>-0.52399999999999958</v>
      </c>
      <c r="J599" s="439">
        <f t="shared" si="582"/>
        <v>-17.276</v>
      </c>
      <c r="K599" s="440">
        <f t="shared" si="583"/>
        <v>-13.497999999999999</v>
      </c>
      <c r="L599" s="439">
        <f t="shared" si="583"/>
        <v>-1.909</v>
      </c>
      <c r="M599" s="439">
        <f t="shared" si="584"/>
        <v>1.6990000000000001</v>
      </c>
      <c r="N599" s="439">
        <f t="shared" si="584"/>
        <v>-2.4969999999999999</v>
      </c>
      <c r="O599" s="439">
        <f t="shared" si="584"/>
        <v>0.81599999999999984</v>
      </c>
      <c r="P599" s="440">
        <f t="shared" si="585"/>
        <v>-1.891</v>
      </c>
      <c r="Q599" s="439">
        <f t="shared" si="585"/>
        <v>27.977</v>
      </c>
      <c r="R599" s="439">
        <f t="shared" si="586"/>
        <v>-11.206</v>
      </c>
      <c r="S599" s="439">
        <f t="shared" si="586"/>
        <v>18.811999999999998</v>
      </c>
      <c r="T599" s="439">
        <f t="shared" si="586"/>
        <v>20.182000000000002</v>
      </c>
      <c r="U599" s="440">
        <f t="shared" si="587"/>
        <v>55.765000000000001</v>
      </c>
      <c r="V599" s="439">
        <f t="shared" si="587"/>
        <v>-9.3559999999999999</v>
      </c>
      <c r="W599" s="439">
        <f t="shared" si="588"/>
        <v>1.2750000000000004</v>
      </c>
      <c r="X599" s="439">
        <f t="shared" si="588"/>
        <v>18.503</v>
      </c>
      <c r="Y599" s="439">
        <f t="shared" si="588"/>
        <v>-39.605000000000004</v>
      </c>
      <c r="Z599" s="440">
        <f t="shared" si="589"/>
        <v>-29.183</v>
      </c>
      <c r="AA599" s="439">
        <f t="shared" si="589"/>
        <v>5.0640000000000001</v>
      </c>
      <c r="AB599" s="439">
        <f t="shared" si="590"/>
        <v>24.33</v>
      </c>
      <c r="AC599" s="439">
        <f t="shared" si="590"/>
        <v>6.5390000000000015</v>
      </c>
      <c r="AD599" s="439">
        <f t="shared" si="590"/>
        <v>16.375999999999998</v>
      </c>
      <c r="AE599" s="440">
        <f t="shared" si="591"/>
        <v>52.308999999999997</v>
      </c>
      <c r="AF599" s="439">
        <f t="shared" si="591"/>
        <v>47.661000000000001</v>
      </c>
      <c r="AG599" s="439">
        <f t="shared" si="592"/>
        <v>-41.475999999999999</v>
      </c>
      <c r="AH599" s="439">
        <f t="shared" si="592"/>
        <v>-12.798999999999999</v>
      </c>
      <c r="AI599" s="439">
        <f t="shared" si="592"/>
        <v>5.1029999999999998</v>
      </c>
      <c r="AJ599" s="440">
        <f>AJ509</f>
        <v>-1.5109999999999999</v>
      </c>
      <c r="AK599" s="439">
        <f>AK509</f>
        <v>-39.130000000000003</v>
      </c>
      <c r="AL599" s="439">
        <f>AL509-AK509</f>
        <v>28.282000000000004</v>
      </c>
      <c r="AM599" s="439">
        <f t="shared" si="596"/>
        <v>-91.152000000000001</v>
      </c>
      <c r="AN599" s="439">
        <f t="shared" si="596"/>
        <v>54</v>
      </c>
      <c r="AO599" s="440">
        <f>AO509</f>
        <v>-48</v>
      </c>
      <c r="AP599" s="439">
        <f>AP509</f>
        <v>19</v>
      </c>
      <c r="AQ599" s="439">
        <f t="shared" si="597"/>
        <v>19</v>
      </c>
      <c r="AR599" s="439">
        <f t="shared" si="597"/>
        <v>106</v>
      </c>
      <c r="AS599" s="439">
        <f>AS509-AR509</f>
        <v>-30</v>
      </c>
      <c r="AT599" s="440">
        <f>AT509</f>
        <v>114</v>
      </c>
      <c r="AU599" s="439">
        <f>AU509</f>
        <v>-2</v>
      </c>
      <c r="AV599" s="439">
        <f t="shared" si="598"/>
        <v>1</v>
      </c>
      <c r="AW599" s="726">
        <f t="shared" si="598"/>
        <v>9</v>
      </c>
      <c r="AX599" s="439"/>
      <c r="AY599" s="440">
        <f t="shared" si="575"/>
        <v>8</v>
      </c>
      <c r="AZ599" s="439"/>
      <c r="BA599" s="439"/>
      <c r="BB599" s="439"/>
      <c r="BC599" s="439"/>
      <c r="BD599" s="440">
        <f t="shared" si="576"/>
        <v>0</v>
      </c>
      <c r="BE599" s="440"/>
      <c r="BF599" s="440"/>
      <c r="BG599" s="440"/>
      <c r="BH599" s="361"/>
    </row>
    <row r="600" spans="1:60" s="116" customFormat="1" x14ac:dyDescent="0.25">
      <c r="A600" s="528" t="str">
        <f t="shared" si="556"/>
        <v>CFO before WC</v>
      </c>
      <c r="B600" s="529"/>
      <c r="C600" s="45">
        <f t="shared" ref="C600:AH600" si="599">SUM(C593:C599)+SUM(C584:C589)</f>
        <v>-43.282000000000004</v>
      </c>
      <c r="D600" s="45">
        <f t="shared" si="599"/>
        <v>-116.56800000000001</v>
      </c>
      <c r="E600" s="45">
        <f t="shared" si="599"/>
        <v>-203.26199999999997</v>
      </c>
      <c r="F600" s="45">
        <f t="shared" si="599"/>
        <v>-308.90000000000009</v>
      </c>
      <c r="G600" s="44">
        <f t="shared" si="599"/>
        <v>35.196000000000005</v>
      </c>
      <c r="H600" s="44">
        <f t="shared" si="599"/>
        <v>27.118999999999996</v>
      </c>
      <c r="I600" s="44">
        <f t="shared" si="599"/>
        <v>16.980000000000011</v>
      </c>
      <c r="J600" s="44">
        <f t="shared" si="599"/>
        <v>36.550999999999988</v>
      </c>
      <c r="K600" s="45">
        <f t="shared" si="599"/>
        <v>115.84599999999999</v>
      </c>
      <c r="L600" s="44">
        <f t="shared" si="599"/>
        <v>42.228999999999999</v>
      </c>
      <c r="M600" s="44">
        <f t="shared" si="599"/>
        <v>63.582999999999998</v>
      </c>
      <c r="N600" s="44">
        <f t="shared" si="599"/>
        <v>66.689000000000007</v>
      </c>
      <c r="O600" s="44">
        <f t="shared" si="599"/>
        <v>26.986999999999981</v>
      </c>
      <c r="P600" s="45">
        <f t="shared" si="599"/>
        <v>199.488</v>
      </c>
      <c r="Q600" s="44">
        <f t="shared" si="599"/>
        <v>23.390999999999988</v>
      </c>
      <c r="R600" s="44">
        <f t="shared" si="599"/>
        <v>-29.464999999999996</v>
      </c>
      <c r="S600" s="44">
        <f t="shared" si="599"/>
        <v>-10.89299999999993</v>
      </c>
      <c r="T600" s="44">
        <f t="shared" si="599"/>
        <v>-14.243000000000094</v>
      </c>
      <c r="U600" s="45">
        <f t="shared" si="599"/>
        <v>-31.210000000000093</v>
      </c>
      <c r="V600" s="44">
        <f t="shared" si="599"/>
        <v>21.424000000000007</v>
      </c>
      <c r="W600" s="44">
        <f t="shared" si="599"/>
        <v>-9.1480000000000459</v>
      </c>
      <c r="X600" s="44">
        <f t="shared" si="599"/>
        <v>459.37</v>
      </c>
      <c r="Y600" s="44">
        <f t="shared" si="599"/>
        <v>98.386000000000053</v>
      </c>
      <c r="Z600" s="45">
        <f t="shared" si="599"/>
        <v>570.03200000000004</v>
      </c>
      <c r="AA600" s="44">
        <f t="shared" si="599"/>
        <v>192.96899999999997</v>
      </c>
      <c r="AB600" s="44">
        <f t="shared" si="599"/>
        <v>280.92100000000005</v>
      </c>
      <c r="AC600" s="44">
        <f t="shared" si="599"/>
        <v>-50.794000000000118</v>
      </c>
      <c r="AD600" s="44">
        <f t="shared" si="599"/>
        <v>12.852999999999966</v>
      </c>
      <c r="AE600" s="45">
        <f t="shared" si="599"/>
        <v>435.9489999999999</v>
      </c>
      <c r="AF600" s="44">
        <f t="shared" si="599"/>
        <v>-72.949999999999932</v>
      </c>
      <c r="AG600" s="44">
        <f t="shared" si="599"/>
        <v>37.32499999999991</v>
      </c>
      <c r="AH600" s="44">
        <f t="shared" si="599"/>
        <v>1039.9630000000002</v>
      </c>
      <c r="AI600" s="44">
        <f t="shared" ref="AI600:BG600" si="600">SUM(AI593:AI599)+SUM(AI584:AI589)</f>
        <v>1035.5129999999997</v>
      </c>
      <c r="AJ600" s="45">
        <f t="shared" si="600"/>
        <v>2039.8509999999997</v>
      </c>
      <c r="AK600" s="44">
        <f t="shared" si="600"/>
        <v>36.495000000000019</v>
      </c>
      <c r="AL600" s="44">
        <f t="shared" si="600"/>
        <v>576.45799999999997</v>
      </c>
      <c r="AM600" s="44">
        <f t="shared" si="600"/>
        <v>947.04700000000003</v>
      </c>
      <c r="AN600" s="44">
        <f t="shared" si="600"/>
        <v>1194</v>
      </c>
      <c r="AO600" s="45">
        <f t="shared" si="600"/>
        <v>2754</v>
      </c>
      <c r="AP600" s="44">
        <f t="shared" si="600"/>
        <v>1007</v>
      </c>
      <c r="AQ600" s="30">
        <f t="shared" si="600"/>
        <v>1210</v>
      </c>
      <c r="AR600" s="44">
        <f t="shared" si="600"/>
        <v>1765</v>
      </c>
      <c r="AS600" s="44">
        <f t="shared" si="600"/>
        <v>1777</v>
      </c>
      <c r="AT600" s="45">
        <f t="shared" si="600"/>
        <v>5759</v>
      </c>
      <c r="AU600" s="30">
        <f t="shared" si="600"/>
        <v>1653</v>
      </c>
      <c r="AV600" s="30">
        <f t="shared" si="600"/>
        <v>2448</v>
      </c>
      <c r="AW600" s="729">
        <f t="shared" ref="AW600" si="601">SUM(AW593:AW599)+SUM(AW584:AW589)</f>
        <v>3148</v>
      </c>
      <c r="AX600" s="44">
        <f t="shared" si="600"/>
        <v>2882.4154390238041</v>
      </c>
      <c r="AY600" s="45">
        <f t="shared" si="600"/>
        <v>10131.415439023804</v>
      </c>
      <c r="AZ600" s="44">
        <f t="shared" ca="1" si="600"/>
        <v>3551.9556413243135</v>
      </c>
      <c r="BA600" s="44">
        <f t="shared" ca="1" si="600"/>
        <v>3945.783307658357</v>
      </c>
      <c r="BB600" s="44">
        <f t="shared" ca="1" si="600"/>
        <v>4870.6740736682104</v>
      </c>
      <c r="BC600" s="44">
        <f t="shared" ca="1" si="600"/>
        <v>4816.3353086416855</v>
      </c>
      <c r="BD600" s="45">
        <f t="shared" ca="1" si="600"/>
        <v>17184.748331292569</v>
      </c>
      <c r="BE600" s="45">
        <f t="shared" ca="1" si="600"/>
        <v>20539.851790473938</v>
      </c>
      <c r="BF600" s="45">
        <f t="shared" ca="1" si="600"/>
        <v>24599.208737247034</v>
      </c>
      <c r="BG600" s="45">
        <f t="shared" ca="1" si="600"/>
        <v>29325.721244325301</v>
      </c>
      <c r="BH600" s="368"/>
    </row>
    <row r="601" spans="1:60" s="356" customFormat="1" x14ac:dyDescent="0.25">
      <c r="A601" s="526" t="str">
        <f t="shared" si="556"/>
        <v>Accounts receivable</v>
      </c>
      <c r="B601" s="450"/>
      <c r="C601" s="440">
        <f t="shared" ref="C601:G601" si="602">C511</f>
        <v>-0.16800000000000001</v>
      </c>
      <c r="D601" s="440">
        <f t="shared" si="602"/>
        <v>-3.222</v>
      </c>
      <c r="E601" s="440">
        <f t="shared" si="602"/>
        <v>-2.8290000000000002</v>
      </c>
      <c r="F601" s="440">
        <f t="shared" si="602"/>
        <v>-17.303000000000001</v>
      </c>
      <c r="G601" s="439">
        <f t="shared" si="602"/>
        <v>-19.297000000000001</v>
      </c>
      <c r="H601" s="439">
        <f t="shared" ref="H601:J601" si="603">H511-G511</f>
        <v>-67.581000000000003</v>
      </c>
      <c r="I601" s="439">
        <f t="shared" si="603"/>
        <v>66.162000000000006</v>
      </c>
      <c r="J601" s="439">
        <f t="shared" si="603"/>
        <v>-0.98899999999999721</v>
      </c>
      <c r="K601" s="440">
        <f t="shared" ref="K601:L601" si="604">K511</f>
        <v>-21.704999999999998</v>
      </c>
      <c r="L601" s="439">
        <f t="shared" si="604"/>
        <v>-23.721</v>
      </c>
      <c r="M601" s="439">
        <f t="shared" ref="M601:O601" si="605">M511-L511</f>
        <v>-24.209999999999997</v>
      </c>
      <c r="N601" s="439">
        <f t="shared" si="605"/>
        <v>-61.241</v>
      </c>
      <c r="O601" s="439">
        <f t="shared" si="605"/>
        <v>-74.48599999999999</v>
      </c>
      <c r="P601" s="440">
        <f t="shared" ref="P601:Q601" si="606">P511</f>
        <v>-183.65799999999999</v>
      </c>
      <c r="Q601" s="439">
        <f t="shared" si="606"/>
        <v>2.1749999999999998</v>
      </c>
      <c r="R601" s="439">
        <f t="shared" ref="R601:T601" si="607">R511-Q511</f>
        <v>60.657000000000004</v>
      </c>
      <c r="S601" s="439">
        <f t="shared" si="607"/>
        <v>15.541000000000004</v>
      </c>
      <c r="T601" s="439">
        <f t="shared" si="607"/>
        <v>-32.106000000000002</v>
      </c>
      <c r="U601" s="440">
        <f t="shared" ref="U601:V601" si="608">U511</f>
        <v>46.267000000000003</v>
      </c>
      <c r="V601" s="439">
        <f t="shared" si="608"/>
        <v>-159.327</v>
      </c>
      <c r="W601" s="439">
        <f t="shared" ref="W601:Y601" si="609">W511-V511</f>
        <v>157.90100000000001</v>
      </c>
      <c r="X601" s="439">
        <f t="shared" si="609"/>
        <v>-109.084</v>
      </c>
      <c r="Y601" s="439">
        <f t="shared" si="609"/>
        <v>-106.05499999999999</v>
      </c>
      <c r="Z601" s="440">
        <f t="shared" ref="Z601:AA601" si="610">Z511</f>
        <v>-216.565</v>
      </c>
      <c r="AA601" s="439">
        <f t="shared" si="610"/>
        <v>91.540999999999997</v>
      </c>
      <c r="AB601" s="439">
        <f t="shared" ref="AB601:AD601" si="611">AB511-AA511</f>
        <v>-14.49799999999999</v>
      </c>
      <c r="AC601" s="439">
        <f t="shared" si="611"/>
        <v>-182.68600000000001</v>
      </c>
      <c r="AD601" s="439">
        <f t="shared" si="611"/>
        <v>81.007999999999996</v>
      </c>
      <c r="AE601" s="440">
        <f t="shared" ref="AE601:AF601" si="612">AE511</f>
        <v>-24.635000000000002</v>
      </c>
      <c r="AF601" s="439">
        <f t="shared" si="612"/>
        <v>-169.142</v>
      </c>
      <c r="AG601" s="439">
        <f t="shared" ref="AG601:AI601" si="613">AG511-AF511</f>
        <v>70.632999999999996</v>
      </c>
      <c r="AH601" s="439">
        <f t="shared" si="613"/>
        <v>-587.59399999999994</v>
      </c>
      <c r="AI601" s="439">
        <f t="shared" si="613"/>
        <v>189.37099999999992</v>
      </c>
      <c r="AJ601" s="440">
        <f t="shared" ref="AJ601:AK601" si="614">AJ511</f>
        <v>-496.73200000000003</v>
      </c>
      <c r="AK601" s="439">
        <f t="shared" si="614"/>
        <v>-99.64</v>
      </c>
      <c r="AL601" s="439">
        <f t="shared" ref="AL601:AN601" si="615">AL511-AK511</f>
        <v>-68.672000000000011</v>
      </c>
      <c r="AM601" s="439">
        <f t="shared" si="615"/>
        <v>18.312000000000012</v>
      </c>
      <c r="AN601" s="439">
        <f t="shared" si="615"/>
        <v>-217</v>
      </c>
      <c r="AO601" s="440">
        <f t="shared" ref="AO601:AP601" si="616">AO511</f>
        <v>-367</v>
      </c>
      <c r="AP601" s="439">
        <f t="shared" si="616"/>
        <v>-14</v>
      </c>
      <c r="AQ601" s="361">
        <f t="shared" ref="AQ601:AS601" si="617">AQ511-AP511</f>
        <v>-222</v>
      </c>
      <c r="AR601" s="439">
        <f t="shared" si="617"/>
        <v>-314</v>
      </c>
      <c r="AS601" s="439">
        <f t="shared" si="617"/>
        <v>-102</v>
      </c>
      <c r="AT601" s="440">
        <f t="shared" ref="AT601:AU601" si="618">AT511</f>
        <v>-652</v>
      </c>
      <c r="AU601" s="361">
        <f t="shared" si="618"/>
        <v>-24</v>
      </c>
      <c r="AV601" s="361">
        <f t="shared" ref="AV601:AW615" si="619">AV511-AU511</f>
        <v>-259</v>
      </c>
      <c r="AW601" s="726">
        <f t="shared" si="619"/>
        <v>135</v>
      </c>
      <c r="AX601" s="439">
        <f>AW718-AX718</f>
        <v>-1207.8298456459438</v>
      </c>
      <c r="AY601" s="440">
        <f t="shared" ref="AY601:AY615" si="620">SUM(AU601,AV601,AW601,AX601)</f>
        <v>-1355.8298456459438</v>
      </c>
      <c r="AZ601" s="439">
        <f>AY718-AZ718</f>
        <v>-196.71898197853352</v>
      </c>
      <c r="BA601" s="439">
        <f>AZ718-BA718</f>
        <v>-564.00824765212974</v>
      </c>
      <c r="BB601" s="439">
        <f>BA718-BB718</f>
        <v>5.5750443199444817</v>
      </c>
      <c r="BC601" s="439">
        <f>BB718-BC718</f>
        <v>-2708.5326366194063</v>
      </c>
      <c r="BD601" s="440">
        <f t="shared" ref="BD601:BD615" si="621">SUM(AZ601,BA601,BB601,BC601)</f>
        <v>-3463.6848219301251</v>
      </c>
      <c r="BE601" s="440">
        <f>BD718-BE718</f>
        <v>-1545.0270773367938</v>
      </c>
      <c r="BF601" s="440">
        <f>BE718-BF718</f>
        <v>-1843.5151166068345</v>
      </c>
      <c r="BG601" s="440">
        <f>BF718-BG718</f>
        <v>-2265.4991731536375</v>
      </c>
      <c r="BH601" s="361"/>
    </row>
    <row r="602" spans="1:60" s="356" customFormat="1" x14ac:dyDescent="0.25">
      <c r="A602" s="618" t="str">
        <f t="shared" si="556"/>
        <v>Inventory</v>
      </c>
      <c r="B602" s="450"/>
      <c r="C602" s="440">
        <f t="shared" ref="C602:G615" si="622">C512</f>
        <v>0</v>
      </c>
      <c r="D602" s="440">
        <f t="shared" si="622"/>
        <v>0</v>
      </c>
      <c r="E602" s="440">
        <f t="shared" si="622"/>
        <v>0</v>
      </c>
      <c r="F602" s="440">
        <f t="shared" si="622"/>
        <v>0</v>
      </c>
      <c r="G602" s="439">
        <f t="shared" si="622"/>
        <v>0</v>
      </c>
      <c r="H602" s="439">
        <f t="shared" ref="H602:J615" si="623">H512-G512</f>
        <v>0</v>
      </c>
      <c r="I602" s="439">
        <f t="shared" si="623"/>
        <v>0</v>
      </c>
      <c r="J602" s="439">
        <f t="shared" si="623"/>
        <v>0</v>
      </c>
      <c r="K602" s="440">
        <f t="shared" ref="K602:L615" si="624">K512</f>
        <v>0</v>
      </c>
      <c r="L602" s="439">
        <f t="shared" si="624"/>
        <v>0</v>
      </c>
      <c r="M602" s="439">
        <f t="shared" ref="M602:O607" si="625">M512-L512</f>
        <v>0</v>
      </c>
      <c r="N602" s="439">
        <f t="shared" si="625"/>
        <v>0</v>
      </c>
      <c r="O602" s="439">
        <f t="shared" si="625"/>
        <v>0</v>
      </c>
      <c r="P602" s="440">
        <f t="shared" ref="P602:Q615" si="626">P512</f>
        <v>0</v>
      </c>
      <c r="Q602" s="439">
        <f t="shared" si="626"/>
        <v>0</v>
      </c>
      <c r="R602" s="439">
        <f t="shared" ref="R602:T615" si="627">R512-Q512</f>
        <v>0</v>
      </c>
      <c r="S602" s="439">
        <f t="shared" si="627"/>
        <v>0</v>
      </c>
      <c r="T602" s="439">
        <f t="shared" si="627"/>
        <v>0</v>
      </c>
      <c r="U602" s="440">
        <f t="shared" ref="U602:V615" si="628">U512</f>
        <v>0</v>
      </c>
      <c r="V602" s="439">
        <f t="shared" si="628"/>
        <v>0</v>
      </c>
      <c r="W602" s="439">
        <f t="shared" ref="W602:Y615" si="629">W512-V512</f>
        <v>0</v>
      </c>
      <c r="X602" s="439">
        <f t="shared" si="629"/>
        <v>0</v>
      </c>
      <c r="Y602" s="439">
        <f t="shared" si="629"/>
        <v>0</v>
      </c>
      <c r="Z602" s="440">
        <f t="shared" ref="Z602:AA615" si="630">Z512</f>
        <v>0</v>
      </c>
      <c r="AA602" s="439">
        <f t="shared" si="630"/>
        <v>-124.514</v>
      </c>
      <c r="AB602" s="439">
        <f t="shared" ref="AB602:AD615" si="631">AB512-AA512</f>
        <v>-269.18799999999999</v>
      </c>
      <c r="AC602" s="439">
        <f t="shared" si="631"/>
        <v>-25.268000000000029</v>
      </c>
      <c r="AD602" s="439">
        <f t="shared" si="631"/>
        <v>240.12000000000003</v>
      </c>
      <c r="AE602" s="440">
        <f t="shared" ref="AE602:AF615" si="632">AE512</f>
        <v>-178.85</v>
      </c>
      <c r="AF602" s="439">
        <f t="shared" si="632"/>
        <v>-322.08100000000002</v>
      </c>
      <c r="AG602" s="439">
        <f t="shared" ref="AG602:AI615" si="633">AG512-AF512</f>
        <v>-733.47500000000002</v>
      </c>
      <c r="AH602" s="439">
        <f t="shared" si="633"/>
        <v>-55.055000000000064</v>
      </c>
      <c r="AI602" s="439">
        <f t="shared" si="633"/>
        <v>87.347000000000094</v>
      </c>
      <c r="AJ602" s="440">
        <f t="shared" ref="AJ602:AK615" si="634">AJ512</f>
        <v>-1023.264</v>
      </c>
      <c r="AK602" s="439">
        <f t="shared" si="634"/>
        <v>-809.15200000000004</v>
      </c>
      <c r="AL602" s="439">
        <f t="shared" ref="AL602:AN615" si="635">AL512-AK512</f>
        <v>456.72400000000005</v>
      </c>
      <c r="AM602" s="439">
        <f t="shared" si="635"/>
        <v>-132.572</v>
      </c>
      <c r="AN602" s="439">
        <f t="shared" si="635"/>
        <v>56</v>
      </c>
      <c r="AO602" s="440">
        <f t="shared" ref="AO602:AP615" si="636">AO512</f>
        <v>-429</v>
      </c>
      <c r="AP602" s="439">
        <f t="shared" si="636"/>
        <v>-981</v>
      </c>
      <c r="AQ602" s="361">
        <f t="shared" ref="AQ602:AS615" si="637">AQ512-AP512</f>
        <v>446</v>
      </c>
      <c r="AR602" s="439">
        <f t="shared" si="637"/>
        <v>-67</v>
      </c>
      <c r="AS602" s="439">
        <f t="shared" si="637"/>
        <v>180</v>
      </c>
      <c r="AT602" s="440">
        <f t="shared" ref="AT602:AU615" si="638">AT512</f>
        <v>-422</v>
      </c>
      <c r="AU602" s="361">
        <f t="shared" si="638"/>
        <v>-106</v>
      </c>
      <c r="AV602" s="361">
        <f t="shared" ref="AV602:AV615" si="639">AV512-AU512</f>
        <v>-581</v>
      </c>
      <c r="AW602" s="726">
        <f t="shared" si="619"/>
        <v>-488</v>
      </c>
      <c r="AX602" s="439">
        <f t="shared" ref="AX602" si="640">AW723-AX723</f>
        <v>-1693.6151627751933</v>
      </c>
      <c r="AY602" s="440">
        <f t="shared" si="620"/>
        <v>-2868.6151627751933</v>
      </c>
      <c r="AZ602" s="439">
        <f t="shared" ref="AZ602:BC602" si="641">AY723-AZ723</f>
        <v>-467.47994608424688</v>
      </c>
      <c r="BA602" s="439">
        <f t="shared" si="641"/>
        <v>-1377.9634337822617</v>
      </c>
      <c r="BB602" s="439">
        <f t="shared" si="641"/>
        <v>-1662.5436892358157</v>
      </c>
      <c r="BC602" s="439">
        <f t="shared" si="641"/>
        <v>-4023.5990680850791</v>
      </c>
      <c r="BD602" s="440">
        <f t="shared" si="621"/>
        <v>-7531.5861371874034</v>
      </c>
      <c r="BE602" s="440">
        <f t="shared" ref="BE602:BG602" si="642">BD723-BE723</f>
        <v>-3359.573724368076</v>
      </c>
      <c r="BF602" s="440">
        <f t="shared" si="642"/>
        <v>-4008.6190313916377</v>
      </c>
      <c r="BG602" s="440">
        <f t="shared" si="642"/>
        <v>-4926.1994215816885</v>
      </c>
      <c r="BH602" s="361"/>
    </row>
    <row r="603" spans="1:60" s="356" customFormat="1" x14ac:dyDescent="0.25">
      <c r="A603" s="619" t="str">
        <f t="shared" si="556"/>
        <v>Operating lease vehicles</v>
      </c>
      <c r="B603" s="527"/>
      <c r="C603" s="479">
        <f t="shared" si="622"/>
        <v>0</v>
      </c>
      <c r="D603" s="479">
        <f t="shared" si="622"/>
        <v>0</v>
      </c>
      <c r="E603" s="479">
        <f t="shared" si="622"/>
        <v>0</v>
      </c>
      <c r="F603" s="479">
        <f t="shared" si="622"/>
        <v>0</v>
      </c>
      <c r="G603" s="459">
        <f t="shared" si="622"/>
        <v>0</v>
      </c>
      <c r="H603" s="459">
        <f t="shared" si="623"/>
        <v>0</v>
      </c>
      <c r="I603" s="459">
        <f t="shared" si="623"/>
        <v>0</v>
      </c>
      <c r="J603" s="459">
        <f t="shared" si="623"/>
        <v>0</v>
      </c>
      <c r="K603" s="479">
        <f t="shared" si="624"/>
        <v>0</v>
      </c>
      <c r="L603" s="459">
        <f t="shared" si="624"/>
        <v>0</v>
      </c>
      <c r="M603" s="459">
        <f t="shared" si="625"/>
        <v>0</v>
      </c>
      <c r="N603" s="459">
        <f t="shared" si="625"/>
        <v>0</v>
      </c>
      <c r="O603" s="459">
        <f t="shared" si="625"/>
        <v>0</v>
      </c>
      <c r="P603" s="479">
        <f t="shared" si="626"/>
        <v>0</v>
      </c>
      <c r="Q603" s="459">
        <f t="shared" si="626"/>
        <v>0</v>
      </c>
      <c r="R603" s="459">
        <f t="shared" si="627"/>
        <v>0</v>
      </c>
      <c r="S603" s="459">
        <f t="shared" si="627"/>
        <v>0</v>
      </c>
      <c r="T603" s="459">
        <f t="shared" si="627"/>
        <v>0</v>
      </c>
      <c r="U603" s="479">
        <f t="shared" si="628"/>
        <v>0</v>
      </c>
      <c r="V603" s="459">
        <f t="shared" si="628"/>
        <v>0</v>
      </c>
      <c r="W603" s="459">
        <f t="shared" si="629"/>
        <v>0</v>
      </c>
      <c r="X603" s="459">
        <f t="shared" si="629"/>
        <v>0</v>
      </c>
      <c r="Y603" s="459">
        <f t="shared" si="629"/>
        <v>0</v>
      </c>
      <c r="Z603" s="479">
        <f t="shared" si="630"/>
        <v>0</v>
      </c>
      <c r="AA603" s="459">
        <f t="shared" si="630"/>
        <v>-458.96499999999997</v>
      </c>
      <c r="AB603" s="459">
        <f t="shared" si="631"/>
        <v>-268.488</v>
      </c>
      <c r="AC603" s="459">
        <f t="shared" si="631"/>
        <v>-355.68700000000013</v>
      </c>
      <c r="AD603" s="459">
        <f t="shared" si="631"/>
        <v>-439.43299999999999</v>
      </c>
      <c r="AE603" s="479">
        <f t="shared" si="632"/>
        <v>-1522.5730000000001</v>
      </c>
      <c r="AF603" s="459">
        <f t="shared" si="632"/>
        <v>-97.195999999999998</v>
      </c>
      <c r="AG603" s="459">
        <f t="shared" si="633"/>
        <v>-89.012</v>
      </c>
      <c r="AH603" s="459">
        <f t="shared" si="633"/>
        <v>-2.7400000000000091</v>
      </c>
      <c r="AI603" s="459">
        <f t="shared" si="633"/>
        <v>-25.799000000000007</v>
      </c>
      <c r="AJ603" s="479">
        <f t="shared" si="634"/>
        <v>-214.74700000000001</v>
      </c>
      <c r="AK603" s="459">
        <f t="shared" si="634"/>
        <v>13.012</v>
      </c>
      <c r="AL603" s="459">
        <f t="shared" si="635"/>
        <v>-188.91</v>
      </c>
      <c r="AM603" s="459">
        <f t="shared" si="635"/>
        <v>-291.10199999999998</v>
      </c>
      <c r="AN603" s="459">
        <f t="shared" si="635"/>
        <v>-297</v>
      </c>
      <c r="AO603" s="479">
        <f t="shared" si="636"/>
        <v>-764</v>
      </c>
      <c r="AP603" s="459">
        <f t="shared" si="636"/>
        <v>-197</v>
      </c>
      <c r="AQ603" s="262">
        <f t="shared" si="637"/>
        <v>-133</v>
      </c>
      <c r="AR603" s="459">
        <f t="shared" si="637"/>
        <v>-310</v>
      </c>
      <c r="AS603" s="459">
        <f t="shared" si="637"/>
        <v>-432</v>
      </c>
      <c r="AT603" s="479">
        <f t="shared" si="638"/>
        <v>-1072</v>
      </c>
      <c r="AU603" s="262">
        <f t="shared" si="638"/>
        <v>-426</v>
      </c>
      <c r="AV603" s="262">
        <f t="shared" si="639"/>
        <v>-490</v>
      </c>
      <c r="AW603" s="723">
        <f t="shared" si="619"/>
        <v>-610</v>
      </c>
      <c r="AX603" s="459">
        <f>AW162-AX162</f>
        <v>-1166.2185056000662</v>
      </c>
      <c r="AY603" s="479">
        <f t="shared" si="620"/>
        <v>-2692.2185056000662</v>
      </c>
      <c r="AZ603" s="459">
        <f>AY162-AZ162</f>
        <v>-1589.5477344545816</v>
      </c>
      <c r="BA603" s="459">
        <f>AZ162-BA162</f>
        <v>-1598.5962150615187</v>
      </c>
      <c r="BB603" s="459">
        <f>BA162-BB162</f>
        <v>-805.52366968169008</v>
      </c>
      <c r="BC603" s="459">
        <f>BB162-BC162</f>
        <v>-2599.1206326961328</v>
      </c>
      <c r="BD603" s="479">
        <f t="shared" si="621"/>
        <v>-6592.7882518939232</v>
      </c>
      <c r="BE603" s="479">
        <f>BD162-BE162</f>
        <v>-6102.7978821504221</v>
      </c>
      <c r="BF603" s="479">
        <f>BE162-BF162</f>
        <v>-6767.7873503008304</v>
      </c>
      <c r="BG603" s="479">
        <f>BF162-BG162</f>
        <v>-7705.0716484867335</v>
      </c>
      <c r="BH603" s="361"/>
    </row>
    <row r="604" spans="1:60" s="356" customFormat="1" x14ac:dyDescent="0.25">
      <c r="A604" s="526" t="str">
        <f t="shared" si="556"/>
        <v>Inventories and operating lease vehicles</v>
      </c>
      <c r="B604" s="450"/>
      <c r="C604" s="440">
        <f t="shared" si="622"/>
        <v>-7.9249999999999998</v>
      </c>
      <c r="D604" s="440">
        <f t="shared" si="622"/>
        <v>-28.513000000000002</v>
      </c>
      <c r="E604" s="440">
        <f t="shared" si="622"/>
        <v>-13.638</v>
      </c>
      <c r="F604" s="440">
        <f t="shared" si="622"/>
        <v>-194.726</v>
      </c>
      <c r="G604" s="439">
        <f t="shared" si="622"/>
        <v>18.22</v>
      </c>
      <c r="H604" s="439">
        <f t="shared" si="623"/>
        <v>-147.46700000000001</v>
      </c>
      <c r="I604" s="439">
        <f t="shared" si="623"/>
        <v>-229.16999999999996</v>
      </c>
      <c r="J604" s="439">
        <f t="shared" si="623"/>
        <v>-102.14400000000001</v>
      </c>
      <c r="K604" s="440">
        <f t="shared" si="624"/>
        <v>-460.56099999999998</v>
      </c>
      <c r="L604" s="439">
        <f t="shared" si="624"/>
        <v>-198.59399999999999</v>
      </c>
      <c r="M604" s="439">
        <f t="shared" si="625"/>
        <v>-259.53800000000001</v>
      </c>
      <c r="N604" s="439">
        <f t="shared" si="625"/>
        <v>-214.53100000000001</v>
      </c>
      <c r="O604" s="439">
        <f t="shared" si="625"/>
        <v>-377.60099999999989</v>
      </c>
      <c r="P604" s="440">
        <f t="shared" si="626"/>
        <v>-1050.2639999999999</v>
      </c>
      <c r="Q604" s="439">
        <f t="shared" si="626"/>
        <v>-307.209</v>
      </c>
      <c r="R604" s="439">
        <f t="shared" si="627"/>
        <v>-399.01100000000002</v>
      </c>
      <c r="S604" s="439">
        <f t="shared" si="627"/>
        <v>-385.16200000000003</v>
      </c>
      <c r="T604" s="439">
        <f t="shared" si="627"/>
        <v>-482.47799999999984</v>
      </c>
      <c r="U604" s="440">
        <f t="shared" si="628"/>
        <v>-1573.86</v>
      </c>
      <c r="V604" s="439">
        <f t="shared" si="628"/>
        <v>-512.67100000000005</v>
      </c>
      <c r="W604" s="439">
        <f t="shared" si="629"/>
        <v>-705.26</v>
      </c>
      <c r="X604" s="439">
        <f t="shared" si="629"/>
        <v>-580.2829999999999</v>
      </c>
      <c r="Y604" s="439">
        <f t="shared" si="629"/>
        <v>-667.48900000000003</v>
      </c>
      <c r="Z604" s="440">
        <f t="shared" si="630"/>
        <v>-2465.703</v>
      </c>
      <c r="AA604" s="439">
        <f t="shared" si="630"/>
        <v>-583.47899999999993</v>
      </c>
      <c r="AB604" s="439">
        <f t="shared" si="631"/>
        <v>-537.67600000000004</v>
      </c>
      <c r="AC604" s="439">
        <f t="shared" si="631"/>
        <v>-380.95500000000015</v>
      </c>
      <c r="AD604" s="439">
        <f t="shared" si="631"/>
        <v>-199.31299999999987</v>
      </c>
      <c r="AE604" s="440">
        <f t="shared" si="632"/>
        <v>-1701.423</v>
      </c>
      <c r="AF604" s="439">
        <f t="shared" si="632"/>
        <v>-419.27700000000004</v>
      </c>
      <c r="AG604" s="439">
        <f t="shared" si="633"/>
        <v>-822.48700000000008</v>
      </c>
      <c r="AH604" s="439">
        <f t="shared" si="633"/>
        <v>-57.795000000000073</v>
      </c>
      <c r="AI604" s="439">
        <f t="shared" si="633"/>
        <v>61.548000000000229</v>
      </c>
      <c r="AJ604" s="440">
        <f t="shared" si="634"/>
        <v>-1238.011</v>
      </c>
      <c r="AK604" s="439">
        <f t="shared" si="634"/>
        <v>-796.1400000000001</v>
      </c>
      <c r="AL604" s="439">
        <f t="shared" si="635"/>
        <v>267.81400000000008</v>
      </c>
      <c r="AM604" s="439">
        <f t="shared" si="635"/>
        <v>-423.67399999999998</v>
      </c>
      <c r="AN604" s="439">
        <f t="shared" si="635"/>
        <v>-241</v>
      </c>
      <c r="AO604" s="440">
        <f t="shared" si="636"/>
        <v>-1193</v>
      </c>
      <c r="AP604" s="439">
        <f t="shared" si="636"/>
        <v>-1178</v>
      </c>
      <c r="AQ604" s="361">
        <f t="shared" si="637"/>
        <v>313</v>
      </c>
      <c r="AR604" s="439">
        <f t="shared" si="637"/>
        <v>-377</v>
      </c>
      <c r="AS604" s="439">
        <f t="shared" si="637"/>
        <v>-252</v>
      </c>
      <c r="AT604" s="440">
        <f t="shared" si="638"/>
        <v>-1494</v>
      </c>
      <c r="AU604" s="361">
        <f t="shared" si="638"/>
        <v>-532</v>
      </c>
      <c r="AV604" s="361">
        <f t="shared" si="639"/>
        <v>-1071</v>
      </c>
      <c r="AW604" s="726">
        <f t="shared" si="619"/>
        <v>-1098</v>
      </c>
      <c r="AX604" s="439">
        <f t="shared" ref="AX604" si="643">SUM(AX602:AX603)</f>
        <v>-2859.8336683752595</v>
      </c>
      <c r="AY604" s="440">
        <f t="shared" si="620"/>
        <v>-5560.8336683752595</v>
      </c>
      <c r="AZ604" s="439">
        <f t="shared" ref="AZ604:BC604" si="644">SUM(AZ602:AZ603)</f>
        <v>-2057.0276805388285</v>
      </c>
      <c r="BA604" s="439">
        <f t="shared" si="644"/>
        <v>-2976.5596488437805</v>
      </c>
      <c r="BB604" s="439">
        <f t="shared" si="644"/>
        <v>-2468.0673589175058</v>
      </c>
      <c r="BC604" s="439">
        <f t="shared" si="644"/>
        <v>-6622.7197007812119</v>
      </c>
      <c r="BD604" s="440">
        <f t="shared" si="621"/>
        <v>-14124.374389081328</v>
      </c>
      <c r="BE604" s="440">
        <f t="shared" ref="BE604:BG604" si="645">SUM(BE602:BE603)</f>
        <v>-9462.3716065184981</v>
      </c>
      <c r="BF604" s="440">
        <f t="shared" si="645"/>
        <v>-10776.406381692468</v>
      </c>
      <c r="BG604" s="440">
        <f t="shared" si="645"/>
        <v>-12631.271070068422</v>
      </c>
      <c r="BH604" s="361"/>
    </row>
    <row r="605" spans="1:60" s="356" customFormat="1" x14ac:dyDescent="0.25">
      <c r="A605" s="526" t="str">
        <f t="shared" si="556"/>
        <v>Prepaid expenses and other current assets</v>
      </c>
      <c r="B605" s="450"/>
      <c r="C605" s="440">
        <f t="shared" si="622"/>
        <v>-2.0419999999999998</v>
      </c>
      <c r="D605" s="440">
        <f t="shared" si="622"/>
        <v>-4.9770000000000003</v>
      </c>
      <c r="E605" s="440">
        <f t="shared" si="622"/>
        <v>-0.248</v>
      </c>
      <c r="F605" s="440">
        <f t="shared" si="622"/>
        <v>1.121</v>
      </c>
      <c r="G605" s="439">
        <f t="shared" si="622"/>
        <v>-2.5750000000000002</v>
      </c>
      <c r="H605" s="439">
        <f t="shared" si="623"/>
        <v>-0.98999999999999977</v>
      </c>
      <c r="I605" s="439">
        <f t="shared" si="623"/>
        <v>-5.5500000000000007</v>
      </c>
      <c r="J605" s="439">
        <f t="shared" si="623"/>
        <v>-8.418000000000001</v>
      </c>
      <c r="K605" s="440">
        <f t="shared" si="624"/>
        <v>-17.533000000000001</v>
      </c>
      <c r="L605" s="439">
        <f t="shared" si="624"/>
        <v>-11.429</v>
      </c>
      <c r="M605" s="439">
        <f t="shared" si="625"/>
        <v>-12.778</v>
      </c>
      <c r="N605" s="439">
        <f t="shared" si="625"/>
        <v>-5.3099999999999987</v>
      </c>
      <c r="O605" s="439">
        <f t="shared" si="625"/>
        <v>-31.12</v>
      </c>
      <c r="P605" s="440">
        <f t="shared" si="626"/>
        <v>-60.637</v>
      </c>
      <c r="Q605" s="439">
        <f t="shared" si="626"/>
        <v>-43.475000000000001</v>
      </c>
      <c r="R605" s="439">
        <f t="shared" si="627"/>
        <v>40.090000000000003</v>
      </c>
      <c r="S605" s="439">
        <f t="shared" si="627"/>
        <v>-32.577000000000005</v>
      </c>
      <c r="T605" s="439">
        <f t="shared" si="627"/>
        <v>6.3670000000000044</v>
      </c>
      <c r="U605" s="440">
        <f t="shared" si="628"/>
        <v>-29.594999999999999</v>
      </c>
      <c r="V605" s="439">
        <f t="shared" si="628"/>
        <v>-9.1340000000000003</v>
      </c>
      <c r="W605" s="439">
        <f t="shared" si="629"/>
        <v>28.628</v>
      </c>
      <c r="X605" s="439">
        <f t="shared" si="629"/>
        <v>15.142000000000003</v>
      </c>
      <c r="Y605" s="439">
        <f t="shared" si="629"/>
        <v>22.169999999999995</v>
      </c>
      <c r="Z605" s="440">
        <f t="shared" si="630"/>
        <v>56.805999999999997</v>
      </c>
      <c r="AA605" s="439">
        <f t="shared" si="630"/>
        <v>-75.504000000000005</v>
      </c>
      <c r="AB605" s="439">
        <f t="shared" si="631"/>
        <v>-37.687999999999988</v>
      </c>
      <c r="AC605" s="439">
        <f t="shared" si="631"/>
        <v>-10.64</v>
      </c>
      <c r="AD605" s="439">
        <f t="shared" si="631"/>
        <v>51.74799999999999</v>
      </c>
      <c r="AE605" s="440">
        <f t="shared" si="632"/>
        <v>-72.084000000000003</v>
      </c>
      <c r="AF605" s="439">
        <f t="shared" si="632"/>
        <v>-50.000999999999998</v>
      </c>
      <c r="AG605" s="439">
        <f t="shared" si="633"/>
        <v>-45.193000000000005</v>
      </c>
      <c r="AH605" s="439">
        <f t="shared" si="633"/>
        <v>63.662000000000006</v>
      </c>
      <c r="AI605" s="439">
        <f t="shared" si="633"/>
        <v>-50.593000000000004</v>
      </c>
      <c r="AJ605" s="440">
        <f t="shared" si="634"/>
        <v>-82.125</v>
      </c>
      <c r="AK605" s="439">
        <f t="shared" si="634"/>
        <v>-46.103000000000002</v>
      </c>
      <c r="AL605" s="439">
        <f t="shared" si="635"/>
        <v>-93.037999999999982</v>
      </c>
      <c r="AM605" s="439">
        <f t="shared" si="635"/>
        <v>-96.859000000000009</v>
      </c>
      <c r="AN605" s="439">
        <f t="shared" si="635"/>
        <v>-52</v>
      </c>
      <c r="AO605" s="440">
        <f t="shared" si="636"/>
        <v>-288</v>
      </c>
      <c r="AP605" s="439">
        <f t="shared" si="636"/>
        <v>-154</v>
      </c>
      <c r="AQ605" s="361">
        <f t="shared" si="637"/>
        <v>-147</v>
      </c>
      <c r="AR605" s="439">
        <f t="shared" si="637"/>
        <v>11</v>
      </c>
      <c r="AS605" s="439">
        <f t="shared" si="637"/>
        <v>39</v>
      </c>
      <c r="AT605" s="440">
        <f t="shared" si="638"/>
        <v>-251</v>
      </c>
      <c r="AU605" s="361">
        <f t="shared" si="638"/>
        <v>-143</v>
      </c>
      <c r="AV605" s="361">
        <f t="shared" si="639"/>
        <v>12</v>
      </c>
      <c r="AW605" s="726">
        <f t="shared" si="619"/>
        <v>-156</v>
      </c>
      <c r="AX605" s="439">
        <f>AW724-AX724</f>
        <v>-443.23301642402203</v>
      </c>
      <c r="AY605" s="440">
        <f t="shared" si="620"/>
        <v>-730.23301642402203</v>
      </c>
      <c r="AZ605" s="439">
        <f>AY724-AZ724</f>
        <v>-341.16428504236865</v>
      </c>
      <c r="BA605" s="439">
        <f>AZ724-BA724</f>
        <v>-152.35226549131266</v>
      </c>
      <c r="BB605" s="439">
        <f>BA724-BB724</f>
        <v>-482.96067867303282</v>
      </c>
      <c r="BC605" s="439">
        <f>BB724-BC724</f>
        <v>-1058.3916905698388</v>
      </c>
      <c r="BD605" s="440">
        <f t="shared" si="621"/>
        <v>-2034.868919776553</v>
      </c>
      <c r="BE605" s="440">
        <f>BD724-BE724</f>
        <v>-907.68292772490304</v>
      </c>
      <c r="BF605" s="440">
        <f>BE724-BF724</f>
        <v>-1083.0406941677475</v>
      </c>
      <c r="BG605" s="440">
        <f>BF724-BG724</f>
        <v>-1330.9507337509176</v>
      </c>
      <c r="BH605" s="361"/>
    </row>
    <row r="606" spans="1:60" s="356" customFormat="1" x14ac:dyDescent="0.25">
      <c r="A606" s="526" t="str">
        <f t="shared" si="556"/>
        <v>MyPower notes receivable</v>
      </c>
      <c r="B606" s="450"/>
      <c r="C606" s="440">
        <f t="shared" si="622"/>
        <v>0</v>
      </c>
      <c r="D606" s="440">
        <f t="shared" si="622"/>
        <v>0</v>
      </c>
      <c r="E606" s="440">
        <f t="shared" si="622"/>
        <v>0</v>
      </c>
      <c r="F606" s="440">
        <f t="shared" si="622"/>
        <v>0</v>
      </c>
      <c r="G606" s="439">
        <f t="shared" si="622"/>
        <v>0</v>
      </c>
      <c r="H606" s="439">
        <f t="shared" si="623"/>
        <v>0</v>
      </c>
      <c r="I606" s="439">
        <f t="shared" si="623"/>
        <v>0</v>
      </c>
      <c r="J606" s="439">
        <f t="shared" si="623"/>
        <v>0</v>
      </c>
      <c r="K606" s="440">
        <f t="shared" si="624"/>
        <v>0</v>
      </c>
      <c r="L606" s="439">
        <f t="shared" si="624"/>
        <v>0</v>
      </c>
      <c r="M606" s="439">
        <f t="shared" si="625"/>
        <v>0</v>
      </c>
      <c r="N606" s="439">
        <f t="shared" si="625"/>
        <v>0</v>
      </c>
      <c r="O606" s="439">
        <f t="shared" si="625"/>
        <v>0</v>
      </c>
      <c r="P606" s="440">
        <f t="shared" si="626"/>
        <v>0</v>
      </c>
      <c r="Q606" s="439">
        <f t="shared" si="626"/>
        <v>0</v>
      </c>
      <c r="R606" s="439">
        <f t="shared" si="627"/>
        <v>0</v>
      </c>
      <c r="S606" s="439">
        <f t="shared" si="627"/>
        <v>0</v>
      </c>
      <c r="T606" s="439">
        <f t="shared" si="627"/>
        <v>0</v>
      </c>
      <c r="U606" s="440">
        <f t="shared" si="628"/>
        <v>0</v>
      </c>
      <c r="V606" s="439">
        <f t="shared" si="628"/>
        <v>0</v>
      </c>
      <c r="W606" s="439">
        <f t="shared" si="629"/>
        <v>0</v>
      </c>
      <c r="X606" s="439">
        <f t="shared" si="629"/>
        <v>0</v>
      </c>
      <c r="Y606" s="439">
        <f t="shared" si="629"/>
        <v>3.468</v>
      </c>
      <c r="Z606" s="440">
        <f t="shared" si="630"/>
        <v>3.468</v>
      </c>
      <c r="AA606" s="439">
        <f t="shared" si="630"/>
        <v>0</v>
      </c>
      <c r="AB606" s="439">
        <f t="shared" si="631"/>
        <v>26.338999999999999</v>
      </c>
      <c r="AC606" s="439">
        <f t="shared" si="631"/>
        <v>-8.7109999999999985</v>
      </c>
      <c r="AD606" s="439">
        <f t="shared" si="631"/>
        <v>-33.081000000000003</v>
      </c>
      <c r="AE606" s="440">
        <f t="shared" si="632"/>
        <v>-15.452999999999999</v>
      </c>
      <c r="AF606" s="439">
        <f t="shared" si="632"/>
        <v>-57.582999999999998</v>
      </c>
      <c r="AG606" s="439">
        <f t="shared" si="633"/>
        <v>-1.8629999999999995</v>
      </c>
      <c r="AH606" s="439">
        <f t="shared" si="633"/>
        <v>-2.953000000000003</v>
      </c>
      <c r="AI606" s="439">
        <f t="shared" si="633"/>
        <v>-145.01</v>
      </c>
      <c r="AJ606" s="440">
        <f t="shared" si="634"/>
        <v>-207.40899999999999</v>
      </c>
      <c r="AK606" s="439">
        <f t="shared" si="634"/>
        <v>0</v>
      </c>
      <c r="AL606" s="439">
        <f t="shared" si="635"/>
        <v>0</v>
      </c>
      <c r="AM606" s="439">
        <f t="shared" si="635"/>
        <v>0</v>
      </c>
      <c r="AN606" s="439">
        <f t="shared" si="635"/>
        <v>0</v>
      </c>
      <c r="AO606" s="440">
        <f t="shared" si="636"/>
        <v>0</v>
      </c>
      <c r="AP606" s="439">
        <f t="shared" si="636"/>
        <v>0</v>
      </c>
      <c r="AQ606" s="439">
        <f t="shared" si="637"/>
        <v>0</v>
      </c>
      <c r="AR606" s="439">
        <f t="shared" si="637"/>
        <v>0</v>
      </c>
      <c r="AS606" s="439">
        <f t="shared" si="637"/>
        <v>0</v>
      </c>
      <c r="AT606" s="440">
        <f t="shared" si="638"/>
        <v>0</v>
      </c>
      <c r="AU606" s="439">
        <f t="shared" si="638"/>
        <v>0</v>
      </c>
      <c r="AV606" s="439">
        <f t="shared" si="639"/>
        <v>0</v>
      </c>
      <c r="AW606" s="726">
        <f t="shared" si="619"/>
        <v>0</v>
      </c>
      <c r="AX606" s="439"/>
      <c r="AY606" s="440">
        <f t="shared" si="620"/>
        <v>0</v>
      </c>
      <c r="AZ606" s="439"/>
      <c r="BA606" s="439"/>
      <c r="BB606" s="439"/>
      <c r="BC606" s="439"/>
      <c r="BD606" s="440">
        <f t="shared" si="621"/>
        <v>0</v>
      </c>
      <c r="BE606" s="440"/>
      <c r="BF606" s="440"/>
      <c r="BG606" s="440"/>
      <c r="BH606" s="361"/>
    </row>
    <row r="607" spans="1:60" s="356" customFormat="1" x14ac:dyDescent="0.25">
      <c r="A607" s="526" t="str">
        <f t="shared" si="556"/>
        <v>Other assets</v>
      </c>
      <c r="B607" s="450"/>
      <c r="C607" s="440">
        <f t="shared" si="622"/>
        <v>-0.44500000000000001</v>
      </c>
      <c r="D607" s="440">
        <f t="shared" si="622"/>
        <v>-0.46300000000000002</v>
      </c>
      <c r="E607" s="440">
        <f t="shared" si="622"/>
        <v>-0.28799999999999998</v>
      </c>
      <c r="F607" s="440">
        <f t="shared" si="622"/>
        <v>-0.48199999999999998</v>
      </c>
      <c r="G607" s="439">
        <f t="shared" si="622"/>
        <v>0.158</v>
      </c>
      <c r="H607" s="439">
        <f t="shared" si="623"/>
        <v>0.14299999999999999</v>
      </c>
      <c r="I607" s="439">
        <f t="shared" si="623"/>
        <v>-0.25900000000000001</v>
      </c>
      <c r="J607" s="439">
        <f t="shared" si="623"/>
        <v>-0.47599999999999998</v>
      </c>
      <c r="K607" s="440">
        <f t="shared" si="624"/>
        <v>-0.434</v>
      </c>
      <c r="L607" s="439">
        <f t="shared" si="624"/>
        <v>0.153</v>
      </c>
      <c r="M607" s="439">
        <f t="shared" si="625"/>
        <v>-0.61</v>
      </c>
      <c r="N607" s="439">
        <f t="shared" si="625"/>
        <v>-5.2140000000000004</v>
      </c>
      <c r="O607" s="439">
        <f t="shared" si="625"/>
        <v>1.1779999999999999</v>
      </c>
      <c r="P607" s="440">
        <f t="shared" si="626"/>
        <v>-4.4930000000000003</v>
      </c>
      <c r="Q607" s="439">
        <f t="shared" si="626"/>
        <v>-6.0549999999999997</v>
      </c>
      <c r="R607" s="439">
        <f t="shared" si="627"/>
        <v>-2.3000000000000007</v>
      </c>
      <c r="S607" s="439">
        <f t="shared" si="627"/>
        <v>-5.9420000000000002</v>
      </c>
      <c r="T607" s="439">
        <f t="shared" si="627"/>
        <v>-10.064999999999998</v>
      </c>
      <c r="U607" s="440">
        <f t="shared" si="628"/>
        <v>-24.361999999999998</v>
      </c>
      <c r="V607" s="439">
        <f t="shared" si="628"/>
        <v>-6.8620000000000001</v>
      </c>
      <c r="W607" s="439">
        <f t="shared" si="629"/>
        <v>-0.58499999999999996</v>
      </c>
      <c r="X607" s="439">
        <f t="shared" si="629"/>
        <v>4.8610000000000007</v>
      </c>
      <c r="Y607" s="439">
        <f t="shared" si="629"/>
        <v>-50.234999999999999</v>
      </c>
      <c r="Z607" s="440">
        <f t="shared" si="630"/>
        <v>-52.820999999999998</v>
      </c>
      <c r="AA607" s="439">
        <f t="shared" si="630"/>
        <v>8.0060000000000002</v>
      </c>
      <c r="AB607" s="439">
        <f t="shared" si="631"/>
        <v>-8.0060000000000002</v>
      </c>
      <c r="AC607" s="439">
        <f t="shared" si="631"/>
        <v>0</v>
      </c>
      <c r="AD607" s="439">
        <f t="shared" si="631"/>
        <v>0</v>
      </c>
      <c r="AE607" s="440">
        <f t="shared" si="632"/>
        <v>0</v>
      </c>
      <c r="AF607" s="439">
        <f t="shared" si="632"/>
        <v>0</v>
      </c>
      <c r="AG607" s="439">
        <f t="shared" si="633"/>
        <v>0</v>
      </c>
      <c r="AH607" s="439">
        <f t="shared" si="633"/>
        <v>0</v>
      </c>
      <c r="AI607" s="439">
        <f t="shared" si="633"/>
        <v>0</v>
      </c>
      <c r="AJ607" s="440">
        <f t="shared" si="634"/>
        <v>0</v>
      </c>
      <c r="AK607" s="439">
        <f t="shared" si="634"/>
        <v>28.064</v>
      </c>
      <c r="AL607" s="439">
        <f t="shared" si="635"/>
        <v>14.100999999999999</v>
      </c>
      <c r="AM607" s="439">
        <f t="shared" si="635"/>
        <v>3.8350000000000009</v>
      </c>
      <c r="AN607" s="439">
        <f t="shared" si="635"/>
        <v>69</v>
      </c>
      <c r="AO607" s="440">
        <f t="shared" si="636"/>
        <v>115</v>
      </c>
      <c r="AP607" s="439">
        <f t="shared" si="636"/>
        <v>40</v>
      </c>
      <c r="AQ607" s="439">
        <f t="shared" si="637"/>
        <v>-56</v>
      </c>
      <c r="AR607" s="439">
        <f t="shared" si="637"/>
        <v>-89</v>
      </c>
      <c r="AS607" s="439">
        <f t="shared" si="637"/>
        <v>-239</v>
      </c>
      <c r="AT607" s="440">
        <f t="shared" si="638"/>
        <v>-344</v>
      </c>
      <c r="AU607" s="439">
        <f t="shared" si="638"/>
        <v>-168</v>
      </c>
      <c r="AV607" s="439">
        <f t="shared" si="639"/>
        <v>-121</v>
      </c>
      <c r="AW607" s="726">
        <f t="shared" si="619"/>
        <v>-455</v>
      </c>
      <c r="AX607" s="439"/>
      <c r="AY607" s="440">
        <f t="shared" si="620"/>
        <v>-744</v>
      </c>
      <c r="AZ607" s="439"/>
      <c r="BA607" s="439"/>
      <c r="BB607" s="439"/>
      <c r="BC607" s="439"/>
      <c r="BD607" s="440">
        <f t="shared" si="621"/>
        <v>0</v>
      </c>
      <c r="BE607" s="440"/>
      <c r="BF607" s="440"/>
      <c r="BG607" s="440"/>
      <c r="BH607" s="361"/>
    </row>
    <row r="608" spans="1:60" s="356" customFormat="1" x14ac:dyDescent="0.25">
      <c r="A608" s="526" t="str">
        <f t="shared" si="556"/>
        <v>Accounts payable and accrued liabilities</v>
      </c>
      <c r="B608" s="450"/>
      <c r="C608" s="440">
        <f t="shared" si="622"/>
        <v>0.90200000000000002</v>
      </c>
      <c r="D608" s="440">
        <f t="shared" si="622"/>
        <v>-0.21199999999999999</v>
      </c>
      <c r="E608" s="440">
        <f t="shared" si="622"/>
        <v>19.890999999999998</v>
      </c>
      <c r="F608" s="440">
        <f t="shared" si="622"/>
        <v>187.821</v>
      </c>
      <c r="G608" s="439">
        <f t="shared" si="622"/>
        <v>25.661000000000001</v>
      </c>
      <c r="H608" s="439">
        <f t="shared" si="623"/>
        <v>-34.036000000000001</v>
      </c>
      <c r="I608" s="439">
        <f t="shared" si="623"/>
        <v>33.795999999999999</v>
      </c>
      <c r="J608" s="439">
        <f t="shared" si="623"/>
        <v>-4.4259999999999984</v>
      </c>
      <c r="K608" s="440">
        <f t="shared" si="624"/>
        <v>20.995000000000001</v>
      </c>
      <c r="L608" s="439">
        <f t="shared" si="624"/>
        <v>78.257000000000005</v>
      </c>
      <c r="M608" s="439">
        <f>M518-L518-L519</f>
        <v>88.174000000000007</v>
      </c>
      <c r="N608" s="439">
        <f t="shared" ref="N608:O615" si="646">N518-M518</f>
        <v>68.183999999999997</v>
      </c>
      <c r="O608" s="439">
        <f t="shared" si="646"/>
        <v>160.96099999999998</v>
      </c>
      <c r="P608" s="440">
        <f t="shared" si="626"/>
        <v>414.85599999999999</v>
      </c>
      <c r="Q608" s="439">
        <f t="shared" si="626"/>
        <v>47.493000000000002</v>
      </c>
      <c r="R608" s="439">
        <f t="shared" si="627"/>
        <v>13.768000000000001</v>
      </c>
      <c r="S608" s="439">
        <f t="shared" si="627"/>
        <v>27.976999999999997</v>
      </c>
      <c r="T608" s="439">
        <f t="shared" si="627"/>
        <v>174.10700000000003</v>
      </c>
      <c r="U608" s="440">
        <f t="shared" si="628"/>
        <v>263.34500000000003</v>
      </c>
      <c r="V608" s="439">
        <f t="shared" si="628"/>
        <v>60.593000000000004</v>
      </c>
      <c r="W608" s="439">
        <f t="shared" si="629"/>
        <v>152.35599999999999</v>
      </c>
      <c r="X608" s="439">
        <f t="shared" si="629"/>
        <v>484.57900000000001</v>
      </c>
      <c r="Y608" s="439">
        <f t="shared" si="629"/>
        <v>53.111999999999966</v>
      </c>
      <c r="Z608" s="440">
        <f t="shared" si="630"/>
        <v>750.64</v>
      </c>
      <c r="AA608" s="439">
        <f t="shared" si="630"/>
        <v>2.5310000000000001</v>
      </c>
      <c r="AB608" s="439">
        <f t="shared" si="631"/>
        <v>10.702999999999999</v>
      </c>
      <c r="AC608" s="439">
        <f t="shared" si="631"/>
        <v>157.09199999999998</v>
      </c>
      <c r="AD608" s="439">
        <f t="shared" si="631"/>
        <v>217.88000000000002</v>
      </c>
      <c r="AE608" s="440">
        <f t="shared" si="632"/>
        <v>388.20600000000002</v>
      </c>
      <c r="AF608" s="439">
        <f t="shared" si="632"/>
        <v>317.983</v>
      </c>
      <c r="AG608" s="439">
        <f t="shared" si="633"/>
        <v>591.73700000000008</v>
      </c>
      <c r="AH608" s="439">
        <f t="shared" si="633"/>
        <v>718.27700000000004</v>
      </c>
      <c r="AI608" s="439">
        <f t="shared" si="633"/>
        <v>94.852999999999838</v>
      </c>
      <c r="AJ608" s="440">
        <f t="shared" si="634"/>
        <v>1722.85</v>
      </c>
      <c r="AK608" s="439">
        <f t="shared" si="634"/>
        <v>-27.577000000000002</v>
      </c>
      <c r="AL608" s="439">
        <f t="shared" si="635"/>
        <v>77.475000000000009</v>
      </c>
      <c r="AM608" s="439">
        <f t="shared" si="635"/>
        <v>92.102000000000004</v>
      </c>
      <c r="AN608" s="439">
        <f t="shared" si="635"/>
        <v>540</v>
      </c>
      <c r="AO608" s="440">
        <f t="shared" si="636"/>
        <v>682</v>
      </c>
      <c r="AP608" s="439">
        <f t="shared" si="636"/>
        <v>-265</v>
      </c>
      <c r="AQ608" s="361">
        <f t="shared" si="637"/>
        <v>-107</v>
      </c>
      <c r="AR608" s="439">
        <f t="shared" si="637"/>
        <v>1137</v>
      </c>
      <c r="AS608" s="439">
        <f t="shared" si="637"/>
        <v>1337</v>
      </c>
      <c r="AT608" s="440">
        <f t="shared" si="638"/>
        <v>2102</v>
      </c>
      <c r="AU608" s="361">
        <f t="shared" si="638"/>
        <v>672</v>
      </c>
      <c r="AV608" s="361">
        <f t="shared" si="639"/>
        <v>920</v>
      </c>
      <c r="AW608" s="726">
        <f t="shared" si="619"/>
        <v>1172</v>
      </c>
      <c r="AX608" s="439">
        <f t="shared" ref="AX608:BG608" si="647">AX752+AX755-AW752-AW755</f>
        <v>2946.1699103757783</v>
      </c>
      <c r="AY608" s="440">
        <f t="shared" si="620"/>
        <v>5710.1699103757783</v>
      </c>
      <c r="AZ608" s="439">
        <f t="shared" si="647"/>
        <v>2447.5337832549185</v>
      </c>
      <c r="BA608" s="439">
        <f t="shared" si="647"/>
        <v>3678.0037185873498</v>
      </c>
      <c r="BB608" s="439">
        <f t="shared" si="647"/>
        <v>4638.151288189265</v>
      </c>
      <c r="BC608" s="439">
        <f t="shared" si="647"/>
        <v>7428.9208844328459</v>
      </c>
      <c r="BD608" s="440">
        <f t="shared" si="621"/>
        <v>18192.60967446438</v>
      </c>
      <c r="BE608" s="440">
        <f t="shared" si="647"/>
        <v>8115.0785939015313</v>
      </c>
      <c r="BF608" s="440">
        <f t="shared" si="647"/>
        <v>9682.8529931639969</v>
      </c>
      <c r="BG608" s="440">
        <f t="shared" si="647"/>
        <v>11899.276144888619</v>
      </c>
      <c r="BH608" s="361"/>
    </row>
    <row r="609" spans="1:60" s="356" customFormat="1" x14ac:dyDescent="0.25">
      <c r="A609" s="526" t="str">
        <f t="shared" si="556"/>
        <v>Accrued liabilities</v>
      </c>
      <c r="B609" s="450"/>
      <c r="C609" s="440">
        <f t="shared" si="622"/>
        <v>3.387</v>
      </c>
      <c r="D609" s="440">
        <f t="shared" si="622"/>
        <v>13.345000000000001</v>
      </c>
      <c r="E609" s="440">
        <f t="shared" si="622"/>
        <v>10.62</v>
      </c>
      <c r="F609" s="440">
        <f t="shared" si="622"/>
        <v>9.6029999999999998</v>
      </c>
      <c r="G609" s="439">
        <f t="shared" si="622"/>
        <v>0.92600000000000005</v>
      </c>
      <c r="H609" s="439">
        <f t="shared" si="623"/>
        <v>14.05</v>
      </c>
      <c r="I609" s="439">
        <f t="shared" si="623"/>
        <v>19.356999999999999</v>
      </c>
      <c r="J609" s="439">
        <f t="shared" si="623"/>
        <v>32.085000000000008</v>
      </c>
      <c r="K609" s="440">
        <f t="shared" si="624"/>
        <v>66.418000000000006</v>
      </c>
      <c r="L609" s="439">
        <f t="shared" si="624"/>
        <v>19.28</v>
      </c>
      <c r="M609" s="439"/>
      <c r="N609" s="439">
        <f t="shared" si="646"/>
        <v>0</v>
      </c>
      <c r="O609" s="439">
        <f t="shared" si="646"/>
        <v>0</v>
      </c>
      <c r="P609" s="440">
        <f t="shared" si="626"/>
        <v>0</v>
      </c>
      <c r="Q609" s="439">
        <f t="shared" si="626"/>
        <v>0</v>
      </c>
      <c r="R609" s="439">
        <f t="shared" si="627"/>
        <v>0</v>
      </c>
      <c r="S609" s="439">
        <f t="shared" si="627"/>
        <v>0</v>
      </c>
      <c r="T609" s="439">
        <f t="shared" si="627"/>
        <v>0</v>
      </c>
      <c r="U609" s="440">
        <f t="shared" si="628"/>
        <v>0</v>
      </c>
      <c r="V609" s="439">
        <f t="shared" si="628"/>
        <v>0</v>
      </c>
      <c r="W609" s="439">
        <f t="shared" si="629"/>
        <v>0</v>
      </c>
      <c r="X609" s="439">
        <f t="shared" si="629"/>
        <v>0</v>
      </c>
      <c r="Y609" s="439">
        <f t="shared" si="629"/>
        <v>0</v>
      </c>
      <c r="Z609" s="440">
        <f t="shared" si="630"/>
        <v>0</v>
      </c>
      <c r="AA609" s="439">
        <f t="shared" si="630"/>
        <v>0</v>
      </c>
      <c r="AB609" s="439">
        <f t="shared" si="631"/>
        <v>0</v>
      </c>
      <c r="AC609" s="439">
        <f t="shared" si="631"/>
        <v>0</v>
      </c>
      <c r="AD609" s="439">
        <f t="shared" si="631"/>
        <v>0</v>
      </c>
      <c r="AE609" s="440">
        <f t="shared" si="632"/>
        <v>0</v>
      </c>
      <c r="AF609" s="439">
        <f t="shared" si="632"/>
        <v>0</v>
      </c>
      <c r="AG609" s="439">
        <f t="shared" si="633"/>
        <v>0</v>
      </c>
      <c r="AH609" s="439">
        <f t="shared" si="633"/>
        <v>0</v>
      </c>
      <c r="AI609" s="439">
        <f t="shared" si="633"/>
        <v>0</v>
      </c>
      <c r="AJ609" s="440">
        <f t="shared" si="634"/>
        <v>0</v>
      </c>
      <c r="AK609" s="439">
        <f t="shared" si="634"/>
        <v>0</v>
      </c>
      <c r="AL609" s="439">
        <f t="shared" si="635"/>
        <v>0</v>
      </c>
      <c r="AM609" s="439">
        <f t="shared" si="635"/>
        <v>0</v>
      </c>
      <c r="AN609" s="439">
        <f t="shared" si="635"/>
        <v>0</v>
      </c>
      <c r="AO609" s="440">
        <f t="shared" si="636"/>
        <v>0</v>
      </c>
      <c r="AP609" s="439">
        <f t="shared" si="636"/>
        <v>0</v>
      </c>
      <c r="AQ609" s="439">
        <f t="shared" si="637"/>
        <v>0</v>
      </c>
      <c r="AR609" s="439">
        <f t="shared" si="637"/>
        <v>0</v>
      </c>
      <c r="AS609" s="439">
        <f t="shared" si="637"/>
        <v>0</v>
      </c>
      <c r="AT609" s="440">
        <f t="shared" si="638"/>
        <v>0</v>
      </c>
      <c r="AU609" s="439">
        <f t="shared" si="638"/>
        <v>0</v>
      </c>
      <c r="AV609" s="439">
        <f t="shared" si="639"/>
        <v>0</v>
      </c>
      <c r="AW609" s="726">
        <f t="shared" si="619"/>
        <v>0</v>
      </c>
      <c r="AX609" s="439"/>
      <c r="AY609" s="440">
        <f t="shared" si="620"/>
        <v>0</v>
      </c>
      <c r="AZ609" s="439"/>
      <c r="BA609" s="439"/>
      <c r="BB609" s="439"/>
      <c r="BC609" s="439"/>
      <c r="BD609" s="440">
        <f t="shared" si="621"/>
        <v>0</v>
      </c>
      <c r="BE609" s="440"/>
      <c r="BF609" s="440"/>
      <c r="BG609" s="440"/>
      <c r="BH609" s="361"/>
    </row>
    <row r="610" spans="1:60" s="356" customFormat="1" x14ac:dyDescent="0.25">
      <c r="A610" s="526" t="str">
        <f t="shared" si="556"/>
        <v>Deferred development compensation</v>
      </c>
      <c r="B610" s="450"/>
      <c r="C610" s="440">
        <f t="shared" si="622"/>
        <v>-10.016999999999999</v>
      </c>
      <c r="D610" s="440">
        <f t="shared" si="622"/>
        <v>-0.156</v>
      </c>
      <c r="E610" s="440">
        <f t="shared" si="622"/>
        <v>0</v>
      </c>
      <c r="F610" s="440">
        <f t="shared" si="622"/>
        <v>0</v>
      </c>
      <c r="G610" s="439">
        <f t="shared" si="622"/>
        <v>0</v>
      </c>
      <c r="H610" s="439">
        <f t="shared" si="623"/>
        <v>0</v>
      </c>
      <c r="I610" s="439">
        <f t="shared" si="623"/>
        <v>0</v>
      </c>
      <c r="J610" s="439">
        <f t="shared" si="623"/>
        <v>0</v>
      </c>
      <c r="K610" s="440">
        <f t="shared" si="624"/>
        <v>0</v>
      </c>
      <c r="L610" s="439">
        <f t="shared" si="624"/>
        <v>0</v>
      </c>
      <c r="M610" s="439">
        <f t="shared" ref="M610:M615" si="648">M520-L520</f>
        <v>0</v>
      </c>
      <c r="N610" s="439">
        <f t="shared" si="646"/>
        <v>0</v>
      </c>
      <c r="O610" s="439">
        <f t="shared" si="646"/>
        <v>0</v>
      </c>
      <c r="P610" s="440">
        <f t="shared" si="626"/>
        <v>0</v>
      </c>
      <c r="Q610" s="439">
        <f t="shared" si="626"/>
        <v>0</v>
      </c>
      <c r="R610" s="439">
        <f t="shared" si="627"/>
        <v>0</v>
      </c>
      <c r="S610" s="439">
        <f t="shared" si="627"/>
        <v>0</v>
      </c>
      <c r="T610" s="439">
        <f t="shared" si="627"/>
        <v>0</v>
      </c>
      <c r="U610" s="440">
        <f t="shared" si="628"/>
        <v>0</v>
      </c>
      <c r="V610" s="439">
        <f t="shared" si="628"/>
        <v>0</v>
      </c>
      <c r="W610" s="439">
        <f t="shared" si="629"/>
        <v>0</v>
      </c>
      <c r="X610" s="439">
        <f t="shared" si="629"/>
        <v>0</v>
      </c>
      <c r="Y610" s="439">
        <f t="shared" si="629"/>
        <v>0</v>
      </c>
      <c r="Z610" s="440">
        <f t="shared" si="630"/>
        <v>0</v>
      </c>
      <c r="AA610" s="439">
        <f t="shared" si="630"/>
        <v>0</v>
      </c>
      <c r="AB610" s="439">
        <f t="shared" si="631"/>
        <v>0</v>
      </c>
      <c r="AC610" s="439">
        <f t="shared" si="631"/>
        <v>0</v>
      </c>
      <c r="AD610" s="439">
        <f t="shared" si="631"/>
        <v>0</v>
      </c>
      <c r="AE610" s="440">
        <f t="shared" si="632"/>
        <v>0</v>
      </c>
      <c r="AF610" s="439">
        <f t="shared" si="632"/>
        <v>0</v>
      </c>
      <c r="AG610" s="439">
        <f t="shared" si="633"/>
        <v>0</v>
      </c>
      <c r="AH610" s="439">
        <f t="shared" si="633"/>
        <v>0</v>
      </c>
      <c r="AI610" s="439">
        <f t="shared" si="633"/>
        <v>0</v>
      </c>
      <c r="AJ610" s="440">
        <f t="shared" si="634"/>
        <v>0</v>
      </c>
      <c r="AK610" s="439">
        <f t="shared" si="634"/>
        <v>0</v>
      </c>
      <c r="AL610" s="439">
        <f t="shared" si="635"/>
        <v>0</v>
      </c>
      <c r="AM610" s="439">
        <f t="shared" si="635"/>
        <v>0</v>
      </c>
      <c r="AN610" s="439">
        <f t="shared" si="635"/>
        <v>0</v>
      </c>
      <c r="AO610" s="440">
        <f t="shared" si="636"/>
        <v>0</v>
      </c>
      <c r="AP610" s="439">
        <f t="shared" si="636"/>
        <v>0</v>
      </c>
      <c r="AQ610" s="439">
        <f t="shared" si="637"/>
        <v>0</v>
      </c>
      <c r="AR610" s="439">
        <f t="shared" si="637"/>
        <v>0</v>
      </c>
      <c r="AS610" s="439">
        <f t="shared" si="637"/>
        <v>0</v>
      </c>
      <c r="AT610" s="440">
        <f t="shared" si="638"/>
        <v>0</v>
      </c>
      <c r="AU610" s="439">
        <f t="shared" si="638"/>
        <v>0</v>
      </c>
      <c r="AV610" s="439">
        <f t="shared" si="639"/>
        <v>0</v>
      </c>
      <c r="AW610" s="726">
        <f t="shared" si="619"/>
        <v>0</v>
      </c>
      <c r="AX610" s="439"/>
      <c r="AY610" s="440">
        <f t="shared" si="620"/>
        <v>0</v>
      </c>
      <c r="AZ610" s="439"/>
      <c r="BA610" s="439"/>
      <c r="BB610" s="439"/>
      <c r="BC610" s="439"/>
      <c r="BD610" s="440">
        <f t="shared" si="621"/>
        <v>0</v>
      </c>
      <c r="BE610" s="440"/>
      <c r="BF610" s="440"/>
      <c r="BG610" s="440"/>
      <c r="BH610" s="361"/>
    </row>
    <row r="611" spans="1:60" s="356" customFormat="1" x14ac:dyDescent="0.25">
      <c r="A611" s="526" t="str">
        <f t="shared" si="556"/>
        <v>Deferred revenue</v>
      </c>
      <c r="B611" s="450"/>
      <c r="C611" s="440">
        <f t="shared" si="622"/>
        <v>-1.456</v>
      </c>
      <c r="D611" s="440">
        <f t="shared" si="622"/>
        <v>4.8010000000000002</v>
      </c>
      <c r="E611" s="440">
        <f t="shared" si="622"/>
        <v>-1.927</v>
      </c>
      <c r="F611" s="440">
        <f t="shared" si="622"/>
        <v>-0.52600000000000002</v>
      </c>
      <c r="G611" s="439">
        <f t="shared" si="622"/>
        <v>4.0590000000000002</v>
      </c>
      <c r="H611" s="439">
        <f t="shared" si="623"/>
        <v>89.051000000000002</v>
      </c>
      <c r="I611" s="439">
        <f t="shared" si="623"/>
        <v>96.928999999999988</v>
      </c>
      <c r="J611" s="439">
        <f t="shared" si="623"/>
        <v>78.059000000000026</v>
      </c>
      <c r="K611" s="440">
        <f t="shared" si="624"/>
        <v>268.09800000000001</v>
      </c>
      <c r="L611" s="439">
        <f t="shared" si="624"/>
        <v>50.393999999999998</v>
      </c>
      <c r="M611" s="439">
        <f t="shared" si="648"/>
        <v>50.865000000000002</v>
      </c>
      <c r="N611" s="439">
        <f t="shared" si="646"/>
        <v>41.234999999999999</v>
      </c>
      <c r="O611" s="439">
        <f t="shared" si="646"/>
        <v>67.187000000000012</v>
      </c>
      <c r="P611" s="440">
        <f t="shared" si="626"/>
        <v>209.68100000000001</v>
      </c>
      <c r="Q611" s="439">
        <f t="shared" si="626"/>
        <v>50.728999999999999</v>
      </c>
      <c r="R611" s="439">
        <f t="shared" si="627"/>
        <v>66.082999999999998</v>
      </c>
      <c r="S611" s="439">
        <f t="shared" si="627"/>
        <v>69.442999999999998</v>
      </c>
      <c r="T611" s="439">
        <f t="shared" si="627"/>
        <v>135.94799999999998</v>
      </c>
      <c r="U611" s="440">
        <f t="shared" si="628"/>
        <v>322.20299999999997</v>
      </c>
      <c r="V611" s="439">
        <f t="shared" si="628"/>
        <v>89.671000000000006</v>
      </c>
      <c r="W611" s="439">
        <f t="shared" si="629"/>
        <v>75.472999999999999</v>
      </c>
      <c r="X611" s="439">
        <f t="shared" si="629"/>
        <v>91.043000000000006</v>
      </c>
      <c r="Y611" s="439">
        <f t="shared" si="629"/>
        <v>126.77499999999998</v>
      </c>
      <c r="Z611" s="440">
        <f t="shared" si="630"/>
        <v>382.96199999999999</v>
      </c>
      <c r="AA611" s="439">
        <f t="shared" si="630"/>
        <v>103.941</v>
      </c>
      <c r="AB611" s="439">
        <f t="shared" si="631"/>
        <v>104.744</v>
      </c>
      <c r="AC611" s="439">
        <f t="shared" si="631"/>
        <v>120.322</v>
      </c>
      <c r="AD611" s="439">
        <f t="shared" si="631"/>
        <v>139.89499999999998</v>
      </c>
      <c r="AE611" s="440">
        <f t="shared" si="632"/>
        <v>468.90199999999999</v>
      </c>
      <c r="AF611" s="439">
        <f t="shared" si="632"/>
        <v>45.795000000000002</v>
      </c>
      <c r="AG611" s="439">
        <f t="shared" si="633"/>
        <v>61.701999999999998</v>
      </c>
      <c r="AH611" s="439">
        <f t="shared" si="633"/>
        <v>176.91999999999996</v>
      </c>
      <c r="AI611" s="439">
        <f t="shared" si="633"/>
        <v>122.24400000000003</v>
      </c>
      <c r="AJ611" s="440">
        <f t="shared" si="634"/>
        <v>406.661</v>
      </c>
      <c r="AK611" s="439">
        <f t="shared" si="634"/>
        <v>317.88799999999998</v>
      </c>
      <c r="AL611" s="439">
        <f t="shared" si="635"/>
        <v>158.66800000000001</v>
      </c>
      <c r="AM611" s="439">
        <f t="shared" si="635"/>
        <v>148.44400000000002</v>
      </c>
      <c r="AN611" s="439">
        <f t="shared" si="635"/>
        <v>176</v>
      </c>
      <c r="AO611" s="440">
        <f t="shared" si="636"/>
        <v>801</v>
      </c>
      <c r="AP611" s="439">
        <f t="shared" si="636"/>
        <v>53</v>
      </c>
      <c r="AQ611" s="361">
        <f t="shared" si="637"/>
        <v>-73</v>
      </c>
      <c r="AR611" s="439">
        <f t="shared" si="637"/>
        <v>138</v>
      </c>
      <c r="AS611" s="439">
        <f t="shared" si="637"/>
        <v>203</v>
      </c>
      <c r="AT611" s="440">
        <f t="shared" si="638"/>
        <v>321</v>
      </c>
      <c r="AU611" s="361">
        <f t="shared" si="638"/>
        <v>162</v>
      </c>
      <c r="AV611" s="361">
        <f t="shared" si="639"/>
        <v>117</v>
      </c>
      <c r="AW611" s="726">
        <f t="shared" si="619"/>
        <v>173</v>
      </c>
      <c r="AX611" s="439">
        <f>+AX756-AW756</f>
        <v>649.48351800200726</v>
      </c>
      <c r="AY611" s="440">
        <f t="shared" si="620"/>
        <v>1101.4835180020073</v>
      </c>
      <c r="AZ611" s="439">
        <f>+AZ756-AY756</f>
        <v>385.25496537268509</v>
      </c>
      <c r="BA611" s="439">
        <f>+BA756-AZ756</f>
        <v>289.87594990069283</v>
      </c>
      <c r="BB611" s="439">
        <f>+BB756-BA756</f>
        <v>477.28701308187738</v>
      </c>
      <c r="BC611" s="439">
        <f>+BC756-BB756</f>
        <v>1525.2344949608228</v>
      </c>
      <c r="BD611" s="440">
        <f t="shared" si="621"/>
        <v>2677.6524233160781</v>
      </c>
      <c r="BE611" s="440">
        <f>BE756-BD756</f>
        <v>1194.4058742084017</v>
      </c>
      <c r="BF611" s="440">
        <f>BF756-BE756</f>
        <v>1425.1564369102671</v>
      </c>
      <c r="BG611" s="440">
        <f>BG756-BF756</f>
        <v>1751.3774095747631</v>
      </c>
      <c r="BH611" s="361"/>
    </row>
    <row r="612" spans="1:60" s="356" customFormat="1" x14ac:dyDescent="0.25">
      <c r="A612" s="526" t="str">
        <f t="shared" si="556"/>
        <v>Customer deposits</v>
      </c>
      <c r="B612" s="450"/>
      <c r="C612" s="440">
        <f t="shared" si="622"/>
        <v>-21.971</v>
      </c>
      <c r="D612" s="440">
        <f t="shared" si="622"/>
        <v>4.7069999999999999</v>
      </c>
      <c r="E612" s="440">
        <f t="shared" si="622"/>
        <v>61.006</v>
      </c>
      <c r="F612" s="440">
        <f t="shared" si="622"/>
        <v>47.055999999999997</v>
      </c>
      <c r="G612" s="439">
        <f t="shared" si="622"/>
        <v>-8.1029999999999998</v>
      </c>
      <c r="H612" s="439">
        <f t="shared" si="623"/>
        <v>3.8239999999999998</v>
      </c>
      <c r="I612" s="439">
        <f t="shared" si="623"/>
        <v>6.5350000000000001</v>
      </c>
      <c r="J612" s="439">
        <f t="shared" si="623"/>
        <v>22.097999999999999</v>
      </c>
      <c r="K612" s="440">
        <f t="shared" si="624"/>
        <v>24.353999999999999</v>
      </c>
      <c r="L612" s="439">
        <f t="shared" si="624"/>
        <v>34.981000000000002</v>
      </c>
      <c r="M612" s="439">
        <f t="shared" si="648"/>
        <v>29.964999999999996</v>
      </c>
      <c r="N612" s="439">
        <f t="shared" si="646"/>
        <v>6.1970000000000027</v>
      </c>
      <c r="O612" s="439">
        <f t="shared" si="646"/>
        <v>35.087000000000003</v>
      </c>
      <c r="P612" s="440">
        <f t="shared" si="626"/>
        <v>106.23</v>
      </c>
      <c r="Q612" s="439">
        <f t="shared" si="626"/>
        <v>-3.012</v>
      </c>
      <c r="R612" s="439">
        <f t="shared" si="627"/>
        <v>22.585000000000001</v>
      </c>
      <c r="S612" s="439">
        <f t="shared" si="627"/>
        <v>0.74099999999999966</v>
      </c>
      <c r="T612" s="439">
        <f t="shared" si="627"/>
        <v>16.406999999999996</v>
      </c>
      <c r="U612" s="440">
        <f t="shared" si="628"/>
        <v>36.720999999999997</v>
      </c>
      <c r="V612" s="439">
        <f t="shared" si="628"/>
        <v>100.804</v>
      </c>
      <c r="W612" s="439">
        <f t="shared" si="629"/>
        <v>297.75099999999998</v>
      </c>
      <c r="X612" s="439">
        <f t="shared" si="629"/>
        <v>10.584000000000003</v>
      </c>
      <c r="Y612" s="439">
        <f t="shared" si="629"/>
        <v>-20.77800000000002</v>
      </c>
      <c r="Z612" s="440">
        <f t="shared" si="630"/>
        <v>388.36099999999999</v>
      </c>
      <c r="AA612" s="439">
        <f t="shared" si="630"/>
        <v>-51.003999999999998</v>
      </c>
      <c r="AB612" s="439">
        <f t="shared" si="631"/>
        <v>-20.059999999999995</v>
      </c>
      <c r="AC612" s="439">
        <f t="shared" si="631"/>
        <v>74.878999999999991</v>
      </c>
      <c r="AD612" s="439">
        <f t="shared" si="631"/>
        <v>166.21199999999999</v>
      </c>
      <c r="AE612" s="440">
        <f t="shared" si="632"/>
        <v>170.02699999999999</v>
      </c>
      <c r="AF612" s="439">
        <f t="shared" si="632"/>
        <v>67.358999999999995</v>
      </c>
      <c r="AG612" s="439">
        <f t="shared" si="633"/>
        <v>-24.438999999999993</v>
      </c>
      <c r="AH612" s="439">
        <f t="shared" si="633"/>
        <v>-33.448999999999998</v>
      </c>
      <c r="AI612" s="439">
        <f t="shared" si="633"/>
        <v>-106.15600000000001</v>
      </c>
      <c r="AJ612" s="440">
        <f t="shared" si="634"/>
        <v>-96.685000000000002</v>
      </c>
      <c r="AK612" s="439">
        <f t="shared" si="634"/>
        <v>-25.172999999999998</v>
      </c>
      <c r="AL612" s="439">
        <f t="shared" si="635"/>
        <v>-135.203</v>
      </c>
      <c r="AM612" s="439">
        <f t="shared" si="635"/>
        <v>46.376000000000005</v>
      </c>
      <c r="AN612" s="439">
        <f t="shared" si="635"/>
        <v>56</v>
      </c>
      <c r="AO612" s="440">
        <f t="shared" si="636"/>
        <v>-58</v>
      </c>
      <c r="AP612" s="439">
        <f t="shared" si="636"/>
        <v>88</v>
      </c>
      <c r="AQ612" s="361">
        <f t="shared" si="637"/>
        <v>-83</v>
      </c>
      <c r="AR612" s="439">
        <f t="shared" si="637"/>
        <v>-20</v>
      </c>
      <c r="AS612" s="439">
        <f t="shared" si="637"/>
        <v>22</v>
      </c>
      <c r="AT612" s="440">
        <f t="shared" si="638"/>
        <v>7</v>
      </c>
      <c r="AU612" s="361">
        <f t="shared" si="638"/>
        <v>-2</v>
      </c>
      <c r="AV612" s="361">
        <f t="shared" si="639"/>
        <v>54</v>
      </c>
      <c r="AW612" s="726">
        <f t="shared" si="619"/>
        <v>28</v>
      </c>
      <c r="AX612" s="439">
        <f>AX759-AW759</f>
        <v>432.89822053327134</v>
      </c>
      <c r="AY612" s="440">
        <f t="shared" si="620"/>
        <v>512.89822053327134</v>
      </c>
      <c r="AZ612" s="439">
        <f>AZ759-AY759</f>
        <v>63.127640091192006</v>
      </c>
      <c r="BA612" s="439">
        <f>BA759-AZ759</f>
        <v>172.08750016680233</v>
      </c>
      <c r="BB612" s="439">
        <f>BB759-BA759</f>
        <v>163.30257586774906</v>
      </c>
      <c r="BC612" s="439">
        <f>BC759-BB759</f>
        <v>982.54855433632156</v>
      </c>
      <c r="BD612" s="440">
        <f t="shared" si="621"/>
        <v>1381.0662704620649</v>
      </c>
      <c r="BE612" s="440">
        <f>BE759-BD759</f>
        <v>616.04473073025929</v>
      </c>
      <c r="BF612" s="440">
        <f>BF759-BE759</f>
        <v>735.06011012107047</v>
      </c>
      <c r="BG612" s="440">
        <f>BG759-BF759</f>
        <v>903.31674348437764</v>
      </c>
      <c r="BH612" s="361"/>
    </row>
    <row r="613" spans="1:60" s="356" customFormat="1" x14ac:dyDescent="0.25">
      <c r="A613" s="526" t="str">
        <f t="shared" si="556"/>
        <v>Resale value guarantee</v>
      </c>
      <c r="B613" s="450"/>
      <c r="C613" s="440">
        <f t="shared" si="622"/>
        <v>0</v>
      </c>
      <c r="D613" s="440">
        <f t="shared" si="622"/>
        <v>0</v>
      </c>
      <c r="E613" s="440">
        <f t="shared" si="622"/>
        <v>0</v>
      </c>
      <c r="F613" s="440">
        <f t="shared" si="622"/>
        <v>0</v>
      </c>
      <c r="G613" s="439">
        <f t="shared" si="622"/>
        <v>0</v>
      </c>
      <c r="H613" s="439">
        <f t="shared" si="623"/>
        <v>72.358000000000004</v>
      </c>
      <c r="I613" s="439">
        <f t="shared" si="623"/>
        <v>86.651999999999987</v>
      </c>
      <c r="J613" s="439">
        <f t="shared" si="623"/>
        <v>77.289000000000016</v>
      </c>
      <c r="K613" s="440">
        <f t="shared" si="624"/>
        <v>236.29900000000001</v>
      </c>
      <c r="L613" s="439">
        <f t="shared" si="624"/>
        <v>54.317999999999998</v>
      </c>
      <c r="M613" s="439">
        <f t="shared" si="648"/>
        <v>54.914000000000001</v>
      </c>
      <c r="N613" s="439">
        <f t="shared" si="646"/>
        <v>52.550000000000011</v>
      </c>
      <c r="O613" s="439">
        <f t="shared" si="646"/>
        <v>87.70999999999998</v>
      </c>
      <c r="P613" s="440">
        <f t="shared" si="626"/>
        <v>249.49199999999999</v>
      </c>
      <c r="Q613" s="439">
        <f t="shared" si="626"/>
        <v>62.712000000000003</v>
      </c>
      <c r="R613" s="439">
        <f t="shared" si="627"/>
        <v>80.504000000000005</v>
      </c>
      <c r="S613" s="439">
        <f t="shared" si="627"/>
        <v>106.33199999999999</v>
      </c>
      <c r="T613" s="439">
        <f t="shared" si="627"/>
        <v>192.74700000000001</v>
      </c>
      <c r="U613" s="440">
        <f t="shared" si="628"/>
        <v>442.29500000000002</v>
      </c>
      <c r="V613" s="439">
        <f t="shared" si="628"/>
        <v>150.636</v>
      </c>
      <c r="W613" s="439">
        <f t="shared" si="629"/>
        <v>103.07400000000001</v>
      </c>
      <c r="X613" s="439">
        <f t="shared" si="629"/>
        <v>68.53400000000002</v>
      </c>
      <c r="Y613" s="439">
        <f t="shared" si="629"/>
        <v>4.6899999999999977</v>
      </c>
      <c r="Z613" s="440">
        <f t="shared" si="630"/>
        <v>326.93400000000003</v>
      </c>
      <c r="AA613" s="439">
        <f t="shared" si="630"/>
        <v>184.57900000000001</v>
      </c>
      <c r="AB613" s="439">
        <f t="shared" si="631"/>
        <v>-8.0740000000000123</v>
      </c>
      <c r="AC613" s="439">
        <f t="shared" si="631"/>
        <v>-35.460999999999984</v>
      </c>
      <c r="AD613" s="439">
        <f t="shared" si="631"/>
        <v>67.673999999999978</v>
      </c>
      <c r="AE613" s="440">
        <f t="shared" si="632"/>
        <v>208.71799999999999</v>
      </c>
      <c r="AF613" s="439">
        <f t="shared" si="632"/>
        <v>0</v>
      </c>
      <c r="AG613" s="439">
        <f t="shared" si="633"/>
        <v>-39.563000000000002</v>
      </c>
      <c r="AH613" s="439">
        <f t="shared" si="633"/>
        <v>-18.058</v>
      </c>
      <c r="AI613" s="439">
        <f t="shared" si="633"/>
        <v>-52.942999999999991</v>
      </c>
      <c r="AJ613" s="440">
        <f t="shared" si="634"/>
        <v>-110.56399999999999</v>
      </c>
      <c r="AK613" s="439">
        <f t="shared" si="634"/>
        <v>-47.393999999999998</v>
      </c>
      <c r="AL613" s="439">
        <f t="shared" si="635"/>
        <v>-28.937999999999995</v>
      </c>
      <c r="AM613" s="439">
        <f t="shared" si="635"/>
        <v>-35.668000000000006</v>
      </c>
      <c r="AN613" s="439">
        <f t="shared" si="635"/>
        <v>-38</v>
      </c>
      <c r="AO613" s="440">
        <f t="shared" si="636"/>
        <v>-150</v>
      </c>
      <c r="AP613" s="439">
        <f t="shared" si="636"/>
        <v>0</v>
      </c>
      <c r="AQ613" s="439">
        <f t="shared" si="637"/>
        <v>0</v>
      </c>
      <c r="AR613" s="439">
        <f t="shared" si="637"/>
        <v>0</v>
      </c>
      <c r="AS613" s="439">
        <f t="shared" si="637"/>
        <v>0</v>
      </c>
      <c r="AT613" s="440">
        <f t="shared" si="638"/>
        <v>0</v>
      </c>
      <c r="AU613" s="439">
        <f t="shared" si="638"/>
        <v>0</v>
      </c>
      <c r="AV613" s="439">
        <f t="shared" si="639"/>
        <v>0</v>
      </c>
      <c r="AW613" s="726">
        <f t="shared" si="619"/>
        <v>0</v>
      </c>
      <c r="AX613" s="439"/>
      <c r="AY613" s="440">
        <f t="shared" si="620"/>
        <v>0</v>
      </c>
      <c r="AZ613" s="439"/>
      <c r="BA613" s="439"/>
      <c r="BB613" s="439"/>
      <c r="BC613" s="439"/>
      <c r="BD613" s="440">
        <f>SUM(AZ613,BA613,BB613,BC613)</f>
        <v>0</v>
      </c>
      <c r="BE613" s="440"/>
      <c r="BF613" s="440"/>
      <c r="BG613" s="440"/>
      <c r="BH613" s="361"/>
    </row>
    <row r="614" spans="1:60" s="356" customFormat="1" x14ac:dyDescent="0.25">
      <c r="A614" s="526" t="str">
        <f t="shared" si="556"/>
        <v>Other long-term liabilities</v>
      </c>
      <c r="B614" s="450"/>
      <c r="C614" s="440">
        <f t="shared" si="622"/>
        <v>2.1920000000000002</v>
      </c>
      <c r="D614" s="440">
        <f t="shared" si="622"/>
        <v>3.5150000000000001</v>
      </c>
      <c r="E614" s="440">
        <f t="shared" si="622"/>
        <v>2.641</v>
      </c>
      <c r="F614" s="440">
        <f t="shared" si="622"/>
        <v>10.255000000000001</v>
      </c>
      <c r="G614" s="439">
        <f t="shared" si="622"/>
        <v>9.8339999999999996</v>
      </c>
      <c r="H614" s="439">
        <f t="shared" si="623"/>
        <v>8.2310000000000016</v>
      </c>
      <c r="I614" s="439">
        <f t="shared" si="623"/>
        <v>10.603999999999999</v>
      </c>
      <c r="J614" s="439">
        <f t="shared" si="623"/>
        <v>4.3580000000000005</v>
      </c>
      <c r="K614" s="440">
        <f t="shared" si="624"/>
        <v>33.027000000000001</v>
      </c>
      <c r="L614" s="439">
        <f t="shared" si="624"/>
        <v>12.855</v>
      </c>
      <c r="M614" s="439">
        <f t="shared" si="648"/>
        <v>7.972999999999999</v>
      </c>
      <c r="N614" s="439">
        <f t="shared" si="646"/>
        <v>23.445000000000004</v>
      </c>
      <c r="O614" s="439">
        <f t="shared" si="646"/>
        <v>17.695</v>
      </c>
      <c r="P614" s="440">
        <f t="shared" si="626"/>
        <v>61.968000000000004</v>
      </c>
      <c r="Q614" s="439">
        <f t="shared" si="626"/>
        <v>41.457000000000001</v>
      </c>
      <c r="R614" s="439">
        <f t="shared" si="627"/>
        <v>-12.427</v>
      </c>
      <c r="S614" s="439">
        <f t="shared" si="627"/>
        <v>11.199999999999996</v>
      </c>
      <c r="T614" s="439">
        <f t="shared" si="627"/>
        <v>-16.532999999999998</v>
      </c>
      <c r="U614" s="440">
        <f t="shared" si="628"/>
        <v>23.696999999999999</v>
      </c>
      <c r="V614" s="439">
        <f t="shared" si="628"/>
        <v>15.260999999999999</v>
      </c>
      <c r="W614" s="439">
        <f t="shared" si="629"/>
        <v>50.146000000000001</v>
      </c>
      <c r="X614" s="439">
        <f t="shared" si="629"/>
        <v>-21.096999999999994</v>
      </c>
      <c r="Y614" s="439">
        <f t="shared" si="629"/>
        <v>87.746999999999986</v>
      </c>
      <c r="Z614" s="440">
        <f t="shared" si="630"/>
        <v>132.05699999999999</v>
      </c>
      <c r="AA614" s="439">
        <f t="shared" si="630"/>
        <v>56.609000000000002</v>
      </c>
      <c r="AB614" s="439">
        <f t="shared" si="631"/>
        <v>3.1229999999999976</v>
      </c>
      <c r="AC614" s="439">
        <f t="shared" si="631"/>
        <v>16.391999999999996</v>
      </c>
      <c r="AD614" s="439">
        <f t="shared" si="631"/>
        <v>5.0150000000000006</v>
      </c>
      <c r="AE614" s="440">
        <f t="shared" si="632"/>
        <v>81.138999999999996</v>
      </c>
      <c r="AF614" s="439">
        <f t="shared" si="632"/>
        <v>-60.56</v>
      </c>
      <c r="AG614" s="439">
        <f t="shared" si="633"/>
        <v>42.484000000000002</v>
      </c>
      <c r="AH614" s="439">
        <f t="shared" si="633"/>
        <v>92.307999999999993</v>
      </c>
      <c r="AI614" s="439">
        <f t="shared" si="633"/>
        <v>85.734000000000009</v>
      </c>
      <c r="AJ614" s="440">
        <f t="shared" si="634"/>
        <v>159.96600000000001</v>
      </c>
      <c r="AK614" s="439">
        <f t="shared" si="634"/>
        <v>19.974</v>
      </c>
      <c r="AL614" s="439">
        <f t="shared" si="635"/>
        <v>94.941000000000003</v>
      </c>
      <c r="AM614" s="439">
        <f t="shared" si="635"/>
        <v>56.084999999999994</v>
      </c>
      <c r="AN614" s="439">
        <f t="shared" si="635"/>
        <v>-62</v>
      </c>
      <c r="AO614" s="440">
        <f t="shared" si="636"/>
        <v>109</v>
      </c>
      <c r="AP614" s="439">
        <f t="shared" si="636"/>
        <v>-17</v>
      </c>
      <c r="AQ614" s="439">
        <f t="shared" si="637"/>
        <v>129</v>
      </c>
      <c r="AR614" s="439">
        <f t="shared" si="637"/>
        <v>149</v>
      </c>
      <c r="AS614" s="439">
        <f t="shared" si="637"/>
        <v>234</v>
      </c>
      <c r="AT614" s="440">
        <f t="shared" si="638"/>
        <v>495</v>
      </c>
      <c r="AU614" s="439">
        <f t="shared" si="638"/>
        <v>23</v>
      </c>
      <c r="AV614" s="439">
        <f t="shared" si="639"/>
        <v>24</v>
      </c>
      <c r="AW614" s="726">
        <f t="shared" si="619"/>
        <v>200</v>
      </c>
      <c r="AX614" s="439"/>
      <c r="AY614" s="440">
        <f t="shared" si="620"/>
        <v>247</v>
      </c>
      <c r="AZ614" s="439"/>
      <c r="BA614" s="439"/>
      <c r="BB614" s="439"/>
      <c r="BC614" s="439"/>
      <c r="BD614" s="440">
        <f t="shared" si="621"/>
        <v>0</v>
      </c>
      <c r="BE614" s="440"/>
      <c r="BF614" s="440"/>
      <c r="BG614" s="440"/>
      <c r="BH614" s="361"/>
    </row>
    <row r="615" spans="1:60" s="356" customFormat="1" x14ac:dyDescent="0.25">
      <c r="A615" s="466" t="str">
        <f t="shared" si="556"/>
        <v>Changes in operating assets and liabilities</v>
      </c>
      <c r="B615" s="527"/>
      <c r="C615" s="479">
        <f t="shared" si="622"/>
        <v>0</v>
      </c>
      <c r="D615" s="479">
        <f t="shared" si="622"/>
        <v>0</v>
      </c>
      <c r="E615" s="479">
        <f t="shared" si="622"/>
        <v>0</v>
      </c>
      <c r="F615" s="479">
        <f t="shared" si="622"/>
        <v>0</v>
      </c>
      <c r="G615" s="459">
        <f t="shared" si="622"/>
        <v>0</v>
      </c>
      <c r="H615" s="459">
        <f t="shared" si="623"/>
        <v>0</v>
      </c>
      <c r="I615" s="459">
        <f t="shared" si="623"/>
        <v>0</v>
      </c>
      <c r="J615" s="459">
        <f t="shared" si="623"/>
        <v>0</v>
      </c>
      <c r="K615" s="479">
        <f t="shared" si="624"/>
        <v>0</v>
      </c>
      <c r="L615" s="459">
        <f t="shared" si="624"/>
        <v>0</v>
      </c>
      <c r="M615" s="459">
        <f t="shared" si="648"/>
        <v>0</v>
      </c>
      <c r="N615" s="459">
        <f t="shared" si="646"/>
        <v>0</v>
      </c>
      <c r="O615" s="459">
        <f t="shared" si="646"/>
        <v>0</v>
      </c>
      <c r="P615" s="479">
        <f t="shared" si="626"/>
        <v>0</v>
      </c>
      <c r="Q615" s="459">
        <f t="shared" si="626"/>
        <v>0</v>
      </c>
      <c r="R615" s="459">
        <f t="shared" si="627"/>
        <v>0</v>
      </c>
      <c r="S615" s="459">
        <f t="shared" si="627"/>
        <v>0</v>
      </c>
      <c r="T615" s="459">
        <f t="shared" si="627"/>
        <v>0</v>
      </c>
      <c r="U615" s="479">
        <f t="shared" si="628"/>
        <v>0</v>
      </c>
      <c r="V615" s="459">
        <f t="shared" si="628"/>
        <v>0</v>
      </c>
      <c r="W615" s="459">
        <f t="shared" si="629"/>
        <v>0</v>
      </c>
      <c r="X615" s="459">
        <f t="shared" si="629"/>
        <v>0</v>
      </c>
      <c r="Y615" s="459">
        <f t="shared" si="629"/>
        <v>0</v>
      </c>
      <c r="Z615" s="479">
        <f t="shared" si="630"/>
        <v>0</v>
      </c>
      <c r="AA615" s="459">
        <f t="shared" si="630"/>
        <v>0</v>
      </c>
      <c r="AB615" s="459">
        <f t="shared" si="631"/>
        <v>0</v>
      </c>
      <c r="AC615" s="459">
        <f t="shared" si="631"/>
        <v>0</v>
      </c>
      <c r="AD615" s="459">
        <f t="shared" si="631"/>
        <v>0</v>
      </c>
      <c r="AE615" s="479">
        <f t="shared" si="632"/>
        <v>0</v>
      </c>
      <c r="AF615" s="459">
        <f t="shared" si="632"/>
        <v>0</v>
      </c>
      <c r="AG615" s="459">
        <f t="shared" si="633"/>
        <v>0</v>
      </c>
      <c r="AH615" s="459">
        <f t="shared" si="633"/>
        <v>0</v>
      </c>
      <c r="AI615" s="459">
        <f t="shared" si="633"/>
        <v>0</v>
      </c>
      <c r="AJ615" s="479">
        <f t="shared" si="634"/>
        <v>0</v>
      </c>
      <c r="AK615" s="459">
        <f t="shared" si="634"/>
        <v>0</v>
      </c>
      <c r="AL615" s="459">
        <f t="shared" si="635"/>
        <v>0</v>
      </c>
      <c r="AM615" s="459">
        <f t="shared" si="635"/>
        <v>0</v>
      </c>
      <c r="AN615" s="459">
        <f t="shared" si="635"/>
        <v>0</v>
      </c>
      <c r="AO615" s="479">
        <f t="shared" si="636"/>
        <v>0</v>
      </c>
      <c r="AP615" s="459">
        <f t="shared" si="636"/>
        <v>0</v>
      </c>
      <c r="AQ615" s="459">
        <f t="shared" si="637"/>
        <v>0</v>
      </c>
      <c r="AR615" s="459">
        <f t="shared" si="637"/>
        <v>0</v>
      </c>
      <c r="AS615" s="459">
        <f t="shared" si="637"/>
        <v>0</v>
      </c>
      <c r="AT615" s="479">
        <f t="shared" si="638"/>
        <v>0</v>
      </c>
      <c r="AU615" s="459">
        <f t="shared" si="638"/>
        <v>0</v>
      </c>
      <c r="AV615" s="459">
        <f t="shared" si="639"/>
        <v>0</v>
      </c>
      <c r="AW615" s="723">
        <f t="shared" si="619"/>
        <v>0</v>
      </c>
      <c r="AX615" s="459"/>
      <c r="AY615" s="479">
        <f t="shared" si="620"/>
        <v>0</v>
      </c>
      <c r="AZ615" s="459"/>
      <c r="BA615" s="459"/>
      <c r="BB615" s="459"/>
      <c r="BC615" s="459"/>
      <c r="BD615" s="479">
        <f t="shared" si="621"/>
        <v>0</v>
      </c>
      <c r="BE615" s="479"/>
      <c r="BF615" s="479"/>
      <c r="BG615" s="479"/>
      <c r="BH615" s="361"/>
    </row>
    <row r="616" spans="1:60" s="116" customFormat="1" x14ac:dyDescent="0.25">
      <c r="A616" s="528" t="str">
        <f t="shared" si="556"/>
        <v>Net CFO</v>
      </c>
      <c r="B616" s="529"/>
      <c r="C616" s="45">
        <f t="shared" ref="C616:AU616" si="649">SUM(C604:C615,C600:C601)</f>
        <v>-80.825000000000017</v>
      </c>
      <c r="D616" s="45">
        <f t="shared" si="649"/>
        <v>-127.74300000000001</v>
      </c>
      <c r="E616" s="45">
        <f t="shared" si="649"/>
        <v>-128.03399999999996</v>
      </c>
      <c r="F616" s="45">
        <f t="shared" si="649"/>
        <v>-266.08100000000007</v>
      </c>
      <c r="G616" s="44">
        <f t="shared" si="649"/>
        <v>64.079000000000008</v>
      </c>
      <c r="H616" s="44">
        <f t="shared" si="649"/>
        <v>-35.298000000000016</v>
      </c>
      <c r="I616" s="44">
        <f t="shared" si="649"/>
        <v>102.03600000000003</v>
      </c>
      <c r="J616" s="44">
        <f t="shared" si="649"/>
        <v>133.98700000000002</v>
      </c>
      <c r="K616" s="45">
        <f t="shared" si="649"/>
        <v>264.80400000000003</v>
      </c>
      <c r="L616" s="44">
        <f t="shared" si="649"/>
        <v>58.722999999999999</v>
      </c>
      <c r="M616" s="44">
        <f t="shared" si="649"/>
        <v>-1.6620000000000239</v>
      </c>
      <c r="N616" s="44">
        <f t="shared" si="649"/>
        <v>-27.995999999999981</v>
      </c>
      <c r="O616" s="44">
        <f t="shared" si="649"/>
        <v>-86.401999999999902</v>
      </c>
      <c r="P616" s="45">
        <f t="shared" si="649"/>
        <v>-57.336999999999719</v>
      </c>
      <c r="Q616" s="44">
        <f t="shared" si="649"/>
        <v>-131.79400000000007</v>
      </c>
      <c r="R616" s="44">
        <f t="shared" si="649"/>
        <v>-159.5160000000001</v>
      </c>
      <c r="S616" s="44">
        <f t="shared" si="649"/>
        <v>-203.34000000000003</v>
      </c>
      <c r="T616" s="44">
        <f t="shared" si="649"/>
        <v>-29.848999999999908</v>
      </c>
      <c r="U616" s="45">
        <f t="shared" si="649"/>
        <v>-524.49900000000002</v>
      </c>
      <c r="V616" s="44">
        <f t="shared" si="649"/>
        <v>-249.60500000000005</v>
      </c>
      <c r="W616" s="44">
        <f t="shared" si="649"/>
        <v>150.33599999999998</v>
      </c>
      <c r="X616" s="44">
        <f t="shared" si="649"/>
        <v>423.64900000000017</v>
      </c>
      <c r="Y616" s="44">
        <f t="shared" si="649"/>
        <v>-448.20900000000023</v>
      </c>
      <c r="Z616" s="45">
        <f t="shared" si="649"/>
        <v>-123.82900000000001</v>
      </c>
      <c r="AA616" s="44">
        <f t="shared" si="649"/>
        <v>-69.811000000000064</v>
      </c>
      <c r="AB616" s="44">
        <f t="shared" si="649"/>
        <v>-200.17200000000003</v>
      </c>
      <c r="AC616" s="44">
        <f t="shared" si="649"/>
        <v>-300.5620000000003</v>
      </c>
      <c r="AD616" s="44">
        <f t="shared" si="649"/>
        <v>509.89100000000002</v>
      </c>
      <c r="AE616" s="45">
        <f t="shared" si="649"/>
        <v>-60.653999999999954</v>
      </c>
      <c r="AF616" s="44">
        <f t="shared" si="649"/>
        <v>-398.37599999999992</v>
      </c>
      <c r="AG616" s="44">
        <f t="shared" si="649"/>
        <v>-129.66400000000016</v>
      </c>
      <c r="AH616" s="44">
        <f t="shared" si="649"/>
        <v>1391.2810000000004</v>
      </c>
      <c r="AI616" s="44">
        <f t="shared" si="649"/>
        <v>1234.5609999999997</v>
      </c>
      <c r="AJ616" s="45">
        <f t="shared" si="649"/>
        <v>2097.8019999999997</v>
      </c>
      <c r="AK616" s="44">
        <f t="shared" si="649"/>
        <v>-639.60600000000011</v>
      </c>
      <c r="AL616" s="44">
        <f t="shared" si="649"/>
        <v>863.60600000000011</v>
      </c>
      <c r="AM616" s="44">
        <f t="shared" si="649"/>
        <v>756.00000000000011</v>
      </c>
      <c r="AN616" s="44">
        <f t="shared" si="649"/>
        <v>1425</v>
      </c>
      <c r="AO616" s="45">
        <f t="shared" si="649"/>
        <v>2405</v>
      </c>
      <c r="AP616" s="44">
        <f t="shared" si="649"/>
        <v>-440</v>
      </c>
      <c r="AQ616" s="30">
        <f t="shared" si="649"/>
        <v>964</v>
      </c>
      <c r="AR616" s="44">
        <f t="shared" si="649"/>
        <v>2400</v>
      </c>
      <c r="AS616" s="44">
        <f t="shared" si="649"/>
        <v>3019</v>
      </c>
      <c r="AT616" s="45">
        <f t="shared" si="649"/>
        <v>5943</v>
      </c>
      <c r="AU616" s="30">
        <f t="shared" si="649"/>
        <v>1641</v>
      </c>
      <c r="AV616" s="30">
        <f>SUM(AV604:AV615,AV600:AV601)</f>
        <v>2124</v>
      </c>
      <c r="AW616" s="729">
        <f t="shared" ref="AW616" si="650">SUM(AW604:AW615,AW600:AW601)</f>
        <v>3147</v>
      </c>
      <c r="AX616" s="44">
        <f t="shared" ref="AX616:BG616" si="651">SUM(AX604:AX615,AX600:AX601)</f>
        <v>2400.0705574896356</v>
      </c>
      <c r="AY616" s="45">
        <f t="shared" si="651"/>
        <v>9312.0705574896365</v>
      </c>
      <c r="AZ616" s="44">
        <f t="shared" ca="1" si="651"/>
        <v>3852.9610824833785</v>
      </c>
      <c r="BA616" s="44">
        <f t="shared" ca="1" si="651"/>
        <v>4392.83031432598</v>
      </c>
      <c r="BB616" s="44">
        <f t="shared" ca="1" si="651"/>
        <v>7203.9619575365086</v>
      </c>
      <c r="BC616" s="44">
        <f t="shared" ca="1" si="651"/>
        <v>4363.3952144012183</v>
      </c>
      <c r="BD616" s="45">
        <f t="shared" ca="1" si="651"/>
        <v>19813.148568747085</v>
      </c>
      <c r="BE616" s="45">
        <f t="shared" ca="1" si="651"/>
        <v>18550.299377733936</v>
      </c>
      <c r="BF616" s="45">
        <f t="shared" ca="1" si="651"/>
        <v>22739.316084975319</v>
      </c>
      <c r="BG616" s="45">
        <f t="shared" ca="1" si="651"/>
        <v>27651.970565300086</v>
      </c>
      <c r="BH616" s="368"/>
    </row>
    <row r="617" spans="1:60" s="116" customFormat="1" x14ac:dyDescent="0.25">
      <c r="A617" s="530"/>
      <c r="B617" s="531"/>
      <c r="C617" s="438"/>
      <c r="D617" s="438"/>
      <c r="E617" s="438"/>
      <c r="F617" s="438"/>
      <c r="G617" s="437"/>
      <c r="H617" s="437"/>
      <c r="I617" s="437"/>
      <c r="J617" s="437"/>
      <c r="K617" s="438"/>
      <c r="L617" s="437"/>
      <c r="M617" s="437"/>
      <c r="N617" s="437"/>
      <c r="O617" s="437"/>
      <c r="P617" s="438"/>
      <c r="Q617" s="437"/>
      <c r="R617" s="437"/>
      <c r="S617" s="437"/>
      <c r="T617" s="437"/>
      <c r="U617" s="438"/>
      <c r="V617" s="437"/>
      <c r="W617" s="437"/>
      <c r="X617" s="437"/>
      <c r="Y617" s="437"/>
      <c r="Z617" s="438"/>
      <c r="AA617" s="437"/>
      <c r="AB617" s="437"/>
      <c r="AC617" s="437"/>
      <c r="AD617" s="437"/>
      <c r="AE617" s="438"/>
      <c r="AF617" s="437"/>
      <c r="AG617" s="437"/>
      <c r="AH617" s="437"/>
      <c r="AI617" s="437"/>
      <c r="AJ617" s="438"/>
      <c r="AK617" s="437"/>
      <c r="AL617" s="437"/>
      <c r="AM617" s="437"/>
      <c r="AN617" s="437"/>
      <c r="AO617" s="438"/>
      <c r="AP617" s="437"/>
      <c r="AQ617" s="437"/>
      <c r="AR617" s="437"/>
      <c r="AS617" s="437"/>
      <c r="AT617" s="438"/>
      <c r="AU617" s="437"/>
      <c r="AV617" s="437"/>
      <c r="AW617" s="725"/>
      <c r="AX617" s="437"/>
      <c r="AY617" s="438"/>
      <c r="AZ617" s="437"/>
      <c r="BA617" s="437"/>
      <c r="BB617" s="437"/>
      <c r="BC617" s="437"/>
      <c r="BD617" s="438"/>
      <c r="BE617" s="438"/>
      <c r="BF617" s="438"/>
      <c r="BG617" s="438"/>
      <c r="BH617" s="368"/>
    </row>
    <row r="618" spans="1:60" s="116" customFormat="1" x14ac:dyDescent="0.25">
      <c r="A618" s="530" t="str">
        <f t="shared" ref="A618:A631" si="652">A528</f>
        <v>CFI</v>
      </c>
      <c r="B618" s="531"/>
      <c r="C618" s="438"/>
      <c r="D618" s="438"/>
      <c r="E618" s="438"/>
      <c r="F618" s="438"/>
      <c r="G618" s="437"/>
      <c r="H618" s="437"/>
      <c r="I618" s="437"/>
      <c r="J618" s="437"/>
      <c r="K618" s="438"/>
      <c r="L618" s="437"/>
      <c r="M618" s="437"/>
      <c r="N618" s="437"/>
      <c r="O618" s="437"/>
      <c r="P618" s="438"/>
      <c r="Q618" s="437"/>
      <c r="R618" s="437"/>
      <c r="S618" s="437"/>
      <c r="T618" s="437"/>
      <c r="U618" s="438"/>
      <c r="V618" s="437"/>
      <c r="W618" s="437"/>
      <c r="X618" s="437"/>
      <c r="Y618" s="437"/>
      <c r="Z618" s="438"/>
      <c r="AA618" s="437"/>
      <c r="AB618" s="437"/>
      <c r="AC618" s="437"/>
      <c r="AD618" s="437"/>
      <c r="AE618" s="438"/>
      <c r="AF618" s="437"/>
      <c r="AG618" s="437"/>
      <c r="AH618" s="437"/>
      <c r="AI618" s="437"/>
      <c r="AJ618" s="438"/>
      <c r="AK618" s="437"/>
      <c r="AL618" s="437"/>
      <c r="AM618" s="437"/>
      <c r="AN618" s="437"/>
      <c r="AO618" s="438"/>
      <c r="AP618" s="437"/>
      <c r="AQ618" s="437"/>
      <c r="AR618" s="437"/>
      <c r="AS618" s="437"/>
      <c r="AT618" s="438"/>
      <c r="AU618" s="437"/>
      <c r="AV618" s="437"/>
      <c r="AW618" s="725"/>
      <c r="AX618" s="437"/>
      <c r="AY618" s="438"/>
      <c r="AZ618" s="437"/>
      <c r="BA618" s="437"/>
      <c r="BB618" s="437"/>
      <c r="BC618" s="437"/>
      <c r="BD618" s="438"/>
      <c r="BE618" s="438"/>
      <c r="BF618" s="438"/>
      <c r="BG618" s="438"/>
      <c r="BH618" s="368"/>
    </row>
    <row r="619" spans="1:60" s="356" customFormat="1" x14ac:dyDescent="0.25">
      <c r="A619" s="526" t="str">
        <f t="shared" si="652"/>
        <v>Purchases of property and equipment excluding capital leases</v>
      </c>
      <c r="B619" s="439"/>
      <c r="C619" s="440">
        <f t="shared" ref="C619:G630" si="653">C529</f>
        <v>-11.884</v>
      </c>
      <c r="D619" s="440">
        <f t="shared" si="653"/>
        <v>-40.203000000000003</v>
      </c>
      <c r="E619" s="440">
        <f t="shared" si="653"/>
        <v>-184.226</v>
      </c>
      <c r="F619" s="440">
        <f t="shared" si="653"/>
        <v>-239.22800000000001</v>
      </c>
      <c r="G619" s="439">
        <f t="shared" si="653"/>
        <v>-57.726999999999997</v>
      </c>
      <c r="H619" s="439">
        <f t="shared" ref="H619:J630" si="654">H529-G529</f>
        <v>-40.515000000000008</v>
      </c>
      <c r="I619" s="439">
        <f t="shared" si="654"/>
        <v>-76.547999999999988</v>
      </c>
      <c r="J619" s="439">
        <f t="shared" si="654"/>
        <v>-89.433999999999997</v>
      </c>
      <c r="K619" s="440">
        <f t="shared" ref="K619:L630" si="655">K529</f>
        <v>-264.22399999999999</v>
      </c>
      <c r="L619" s="439">
        <f t="shared" si="655"/>
        <v>-141.364</v>
      </c>
      <c r="M619" s="439">
        <f t="shared" ref="M619:O630" si="656">M529-L529</f>
        <v>-175.68499999999997</v>
      </c>
      <c r="N619" s="439">
        <f t="shared" si="656"/>
        <v>-284.17500000000007</v>
      </c>
      <c r="O619" s="439">
        <f t="shared" si="656"/>
        <v>-368.66099999999994</v>
      </c>
      <c r="P619" s="440">
        <f t="shared" ref="P619:Q630" si="657">P529</f>
        <v>-969.88499999999999</v>
      </c>
      <c r="Q619" s="439">
        <f t="shared" si="657"/>
        <v>-426.06</v>
      </c>
      <c r="R619" s="439">
        <f t="shared" ref="R619:T630" si="658">R529-Q529</f>
        <v>-405.16500000000002</v>
      </c>
      <c r="S619" s="439">
        <f t="shared" si="658"/>
        <v>-392.40299999999991</v>
      </c>
      <c r="T619" s="439">
        <f t="shared" si="658"/>
        <v>-411.22199999999998</v>
      </c>
      <c r="U619" s="440">
        <f t="shared" ref="U619:V630" si="659">U529</f>
        <v>-1634.85</v>
      </c>
      <c r="V619" s="439">
        <f t="shared" si="659"/>
        <v>-216.85900000000001</v>
      </c>
      <c r="W619" s="439">
        <f t="shared" ref="W619:Y630" si="660">W529-V529</f>
        <v>-294.72000000000003</v>
      </c>
      <c r="X619" s="439">
        <f t="shared" si="660"/>
        <v>-247.61100000000005</v>
      </c>
      <c r="Y619" s="439">
        <f t="shared" si="660"/>
        <v>-521.61199999999985</v>
      </c>
      <c r="Z619" s="440">
        <f t="shared" ref="Z619:AA630" si="661">Z529</f>
        <v>-1280.8019999999999</v>
      </c>
      <c r="AA619" s="439">
        <f t="shared" si="661"/>
        <v>-552.62400000000002</v>
      </c>
      <c r="AB619" s="439">
        <f t="shared" ref="AB619:AD630" si="662">AB529-AA529</f>
        <v>-959.06799999999998</v>
      </c>
      <c r="AC619" s="439">
        <f t="shared" si="662"/>
        <v>-1116.4340000000002</v>
      </c>
      <c r="AD619" s="439">
        <f t="shared" si="662"/>
        <v>-786.68799999999965</v>
      </c>
      <c r="AE619" s="440">
        <f t="shared" ref="AE619:AF630" si="663">AE529</f>
        <v>-3414.8139999999999</v>
      </c>
      <c r="AF619" s="439">
        <f t="shared" si="663"/>
        <v>-655.66200000000003</v>
      </c>
      <c r="AG619" s="439">
        <f t="shared" ref="AG619:AI630" si="664">AG529-AF529</f>
        <v>-609.81299999999987</v>
      </c>
      <c r="AH619" s="439">
        <f t="shared" si="664"/>
        <v>-510.27100000000019</v>
      </c>
      <c r="AI619" s="439">
        <f t="shared" si="664"/>
        <v>-324.97800000000007</v>
      </c>
      <c r="AJ619" s="440">
        <f t="shared" ref="AJ619:AK630" si="665">AJ529</f>
        <v>-2100.7240000000002</v>
      </c>
      <c r="AK619" s="439">
        <f t="shared" si="665"/>
        <v>-279.93200000000002</v>
      </c>
      <c r="AL619" s="439">
        <f t="shared" ref="AL619:AN630" si="666">AL529-AK529</f>
        <v>-249.67700000000002</v>
      </c>
      <c r="AM619" s="439">
        <f t="shared" si="666"/>
        <v>-385.39099999999996</v>
      </c>
      <c r="AN619" s="439">
        <f t="shared" si="666"/>
        <v>-412</v>
      </c>
      <c r="AO619" s="440">
        <f t="shared" ref="AO619:AP630" si="667">AO529</f>
        <v>-1327</v>
      </c>
      <c r="AP619" s="439">
        <f t="shared" si="667"/>
        <v>-455</v>
      </c>
      <c r="AQ619" s="439">
        <f t="shared" ref="AQ619:AS630" si="668">AQ529-AP529</f>
        <v>-546</v>
      </c>
      <c r="AR619" s="439">
        <f t="shared" si="668"/>
        <v>-1005</v>
      </c>
      <c r="AS619" s="439">
        <f t="shared" si="668"/>
        <v>-1151</v>
      </c>
      <c r="AT619" s="440">
        <f t="shared" ref="AT619:AU630" si="669">AT529</f>
        <v>-3157</v>
      </c>
      <c r="AU619" s="361">
        <f t="shared" si="669"/>
        <v>-1348</v>
      </c>
      <c r="AV619" s="361">
        <f t="shared" ref="AV619:AW630" si="670">AV529-AU529</f>
        <v>-1505</v>
      </c>
      <c r="AW619" s="726">
        <f t="shared" si="670"/>
        <v>-1819</v>
      </c>
      <c r="AX619" s="439">
        <f>-AX694</f>
        <v>-1183</v>
      </c>
      <c r="AY619" s="440">
        <f t="shared" ref="AY619:AY630" si="671">SUM(AU619,AV619,AW619,AX619)</f>
        <v>-5855</v>
      </c>
      <c r="AZ619" s="439">
        <f>-AZ694</f>
        <v>-1483</v>
      </c>
      <c r="BA619" s="439">
        <f>-BA694</f>
        <v>-1483</v>
      </c>
      <c r="BB619" s="439">
        <f>-BB694</f>
        <v>-1483</v>
      </c>
      <c r="BC619" s="439">
        <f>-BC694</f>
        <v>-1483</v>
      </c>
      <c r="BD619" s="440">
        <f t="shared" ref="BD619:BD630" si="672">SUM(AZ619,BA619,BB619,BC619)</f>
        <v>-5932</v>
      </c>
      <c r="BE619" s="440">
        <f>-BE694</f>
        <v>-5932</v>
      </c>
      <c r="BF619" s="440">
        <f>-BF694</f>
        <v>-5932</v>
      </c>
      <c r="BG619" s="440">
        <f>-BG694</f>
        <v>-5932</v>
      </c>
      <c r="BH619" s="361"/>
    </row>
    <row r="620" spans="1:60" s="356" customFormat="1" x14ac:dyDescent="0.25">
      <c r="A620" s="526" t="str">
        <f t="shared" si="652"/>
        <v>Payments of the cost of solar energy systems, leased and to be leased</v>
      </c>
      <c r="B620" s="439"/>
      <c r="C620" s="440">
        <f t="shared" si="653"/>
        <v>0</v>
      </c>
      <c r="D620" s="440">
        <f t="shared" si="653"/>
        <v>0</v>
      </c>
      <c r="E620" s="440">
        <f t="shared" si="653"/>
        <v>0</v>
      </c>
      <c r="F620" s="440">
        <f t="shared" si="653"/>
        <v>0</v>
      </c>
      <c r="G620" s="439">
        <f t="shared" si="653"/>
        <v>0</v>
      </c>
      <c r="H620" s="439">
        <f t="shared" si="654"/>
        <v>0</v>
      </c>
      <c r="I620" s="439">
        <f t="shared" si="654"/>
        <v>0</v>
      </c>
      <c r="J620" s="439">
        <f t="shared" si="654"/>
        <v>0</v>
      </c>
      <c r="K620" s="440">
        <f t="shared" si="655"/>
        <v>0</v>
      </c>
      <c r="L620" s="439">
        <f t="shared" si="655"/>
        <v>0</v>
      </c>
      <c r="M620" s="439">
        <f t="shared" si="656"/>
        <v>0</v>
      </c>
      <c r="N620" s="439">
        <f t="shared" si="656"/>
        <v>0</v>
      </c>
      <c r="O620" s="439">
        <f t="shared" si="656"/>
        <v>0</v>
      </c>
      <c r="P620" s="440">
        <f t="shared" si="657"/>
        <v>0</v>
      </c>
      <c r="Q620" s="439">
        <f t="shared" si="657"/>
        <v>0</v>
      </c>
      <c r="R620" s="439">
        <f t="shared" si="658"/>
        <v>0</v>
      </c>
      <c r="S620" s="439">
        <f t="shared" si="658"/>
        <v>0</v>
      </c>
      <c r="T620" s="439">
        <f t="shared" si="658"/>
        <v>0</v>
      </c>
      <c r="U620" s="440">
        <f t="shared" si="659"/>
        <v>0</v>
      </c>
      <c r="V620" s="439">
        <f t="shared" si="659"/>
        <v>0</v>
      </c>
      <c r="W620" s="439">
        <f t="shared" si="660"/>
        <v>0</v>
      </c>
      <c r="X620" s="439">
        <f t="shared" si="660"/>
        <v>0</v>
      </c>
      <c r="Y620" s="439">
        <f t="shared" si="660"/>
        <v>-159.66900000000001</v>
      </c>
      <c r="Z620" s="440">
        <f t="shared" si="661"/>
        <v>-159.66900000000001</v>
      </c>
      <c r="AA620" s="439">
        <f t="shared" si="661"/>
        <v>-219.94800000000001</v>
      </c>
      <c r="AB620" s="439">
        <f t="shared" si="662"/>
        <v>-198.84399999999997</v>
      </c>
      <c r="AC620" s="439">
        <f t="shared" si="662"/>
        <v>-128.29300000000006</v>
      </c>
      <c r="AD620" s="439">
        <f t="shared" si="662"/>
        <v>-119.45499999999993</v>
      </c>
      <c r="AE620" s="440">
        <f t="shared" si="663"/>
        <v>-666.54</v>
      </c>
      <c r="AF620" s="439">
        <f t="shared" si="663"/>
        <v>-72.974999999999994</v>
      </c>
      <c r="AG620" s="439">
        <f t="shared" si="664"/>
        <v>-67.400000000000006</v>
      </c>
      <c r="AH620" s="439">
        <f t="shared" si="664"/>
        <v>-49.494</v>
      </c>
      <c r="AI620" s="439">
        <f t="shared" si="664"/>
        <v>-28.923000000000002</v>
      </c>
      <c r="AJ620" s="440">
        <f t="shared" si="665"/>
        <v>-218.792</v>
      </c>
      <c r="AK620" s="439">
        <f t="shared" si="665"/>
        <v>-25.260999999999999</v>
      </c>
      <c r="AL620" s="439">
        <f t="shared" si="666"/>
        <v>-18.196999999999999</v>
      </c>
      <c r="AM620" s="439">
        <f t="shared" si="666"/>
        <v>-24.542000000000002</v>
      </c>
      <c r="AN620" s="439">
        <f t="shared" si="666"/>
        <v>-37</v>
      </c>
      <c r="AO620" s="440">
        <f t="shared" si="667"/>
        <v>-105</v>
      </c>
      <c r="AP620" s="439">
        <f t="shared" si="667"/>
        <v>-26</v>
      </c>
      <c r="AQ620" s="361">
        <f t="shared" si="668"/>
        <v>-20</v>
      </c>
      <c r="AR620" s="439">
        <f t="shared" si="668"/>
        <v>-16</v>
      </c>
      <c r="AS620" s="439">
        <f t="shared" si="668"/>
        <v>-13</v>
      </c>
      <c r="AT620" s="440">
        <f t="shared" si="669"/>
        <v>-75</v>
      </c>
      <c r="AU620" s="361">
        <f t="shared" si="669"/>
        <v>-12</v>
      </c>
      <c r="AV620" s="361">
        <f t="shared" si="670"/>
        <v>-10</v>
      </c>
      <c r="AW620" s="726">
        <f t="shared" si="670"/>
        <v>-6</v>
      </c>
      <c r="AX620" s="439">
        <f>-AX204-AX296</f>
        <v>-17</v>
      </c>
      <c r="AY620" s="440">
        <f t="shared" si="671"/>
        <v>-45</v>
      </c>
      <c r="AZ620" s="439">
        <f>-AZ204-AZ296</f>
        <v>-17</v>
      </c>
      <c r="BA620" s="439">
        <f>-BA204-BA296</f>
        <v>-17</v>
      </c>
      <c r="BB620" s="439">
        <f>-BB204-BB296</f>
        <v>-17</v>
      </c>
      <c r="BC620" s="439">
        <f>-BC204-BC296</f>
        <v>-17</v>
      </c>
      <c r="BD620" s="440">
        <f t="shared" si="672"/>
        <v>-68</v>
      </c>
      <c r="BE620" s="440">
        <f>-BE204-BE296</f>
        <v>-68</v>
      </c>
      <c r="BF620" s="440">
        <f>-BF204-BF296</f>
        <v>-68</v>
      </c>
      <c r="BG620" s="440">
        <f>-BG204-BG296</f>
        <v>-68</v>
      </c>
      <c r="BH620" s="361"/>
    </row>
    <row r="621" spans="1:60" s="356" customFormat="1" x14ac:dyDescent="0.25">
      <c r="A621" s="526" t="str">
        <f t="shared" si="652"/>
        <v>Purchase of intangible assets</v>
      </c>
      <c r="B621" s="439"/>
      <c r="C621" s="440">
        <f t="shared" si="653"/>
        <v>0</v>
      </c>
      <c r="D621" s="440">
        <f t="shared" si="653"/>
        <v>0</v>
      </c>
      <c r="E621" s="440">
        <f t="shared" si="653"/>
        <v>0</v>
      </c>
      <c r="F621" s="440">
        <f t="shared" si="653"/>
        <v>0</v>
      </c>
      <c r="G621" s="439">
        <f t="shared" si="653"/>
        <v>0</v>
      </c>
      <c r="H621" s="439">
        <f t="shared" si="654"/>
        <v>0</v>
      </c>
      <c r="I621" s="439">
        <f t="shared" si="654"/>
        <v>0</v>
      </c>
      <c r="J621" s="439">
        <f t="shared" si="654"/>
        <v>0</v>
      </c>
      <c r="K621" s="440">
        <f t="shared" si="655"/>
        <v>0</v>
      </c>
      <c r="L621" s="439">
        <f t="shared" si="655"/>
        <v>0</v>
      </c>
      <c r="M621" s="439">
        <f t="shared" si="656"/>
        <v>0</v>
      </c>
      <c r="N621" s="439">
        <f t="shared" si="656"/>
        <v>0</v>
      </c>
      <c r="O621" s="439">
        <f t="shared" si="656"/>
        <v>0</v>
      </c>
      <c r="P621" s="440">
        <f t="shared" si="657"/>
        <v>0</v>
      </c>
      <c r="Q621" s="439">
        <f t="shared" si="657"/>
        <v>0</v>
      </c>
      <c r="R621" s="439">
        <f t="shared" si="658"/>
        <v>0</v>
      </c>
      <c r="S621" s="439">
        <f t="shared" si="658"/>
        <v>0</v>
      </c>
      <c r="T621" s="439">
        <f t="shared" si="658"/>
        <v>0</v>
      </c>
      <c r="U621" s="440">
        <f t="shared" si="659"/>
        <v>0</v>
      </c>
      <c r="V621" s="439">
        <f t="shared" si="659"/>
        <v>0</v>
      </c>
      <c r="W621" s="439">
        <f t="shared" si="660"/>
        <v>0</v>
      </c>
      <c r="X621" s="439">
        <f t="shared" si="660"/>
        <v>0</v>
      </c>
      <c r="Y621" s="439">
        <f t="shared" si="660"/>
        <v>0</v>
      </c>
      <c r="Z621" s="440">
        <f t="shared" si="661"/>
        <v>0</v>
      </c>
      <c r="AA621" s="439">
        <f t="shared" si="661"/>
        <v>0</v>
      </c>
      <c r="AB621" s="439">
        <f t="shared" si="662"/>
        <v>0</v>
      </c>
      <c r="AC621" s="439">
        <f t="shared" si="662"/>
        <v>0</v>
      </c>
      <c r="AD621" s="439">
        <f t="shared" si="662"/>
        <v>0</v>
      </c>
      <c r="AE621" s="440">
        <f t="shared" si="663"/>
        <v>0</v>
      </c>
      <c r="AF621" s="439">
        <f t="shared" si="663"/>
        <v>0</v>
      </c>
      <c r="AG621" s="439">
        <f t="shared" si="664"/>
        <v>0</v>
      </c>
      <c r="AH621" s="439">
        <f t="shared" si="664"/>
        <v>0</v>
      </c>
      <c r="AI621" s="439">
        <f t="shared" si="664"/>
        <v>0</v>
      </c>
      <c r="AJ621" s="440">
        <f t="shared" si="665"/>
        <v>0</v>
      </c>
      <c r="AK621" s="439">
        <f t="shared" si="665"/>
        <v>0</v>
      </c>
      <c r="AL621" s="439">
        <f t="shared" si="666"/>
        <v>-5.3330000000000002</v>
      </c>
      <c r="AM621" s="439">
        <f t="shared" si="666"/>
        <v>0.33300000000000018</v>
      </c>
      <c r="AN621" s="439">
        <f t="shared" si="666"/>
        <v>0</v>
      </c>
      <c r="AO621" s="440">
        <f t="shared" si="667"/>
        <v>-5</v>
      </c>
      <c r="AP621" s="439">
        <f t="shared" si="667"/>
        <v>0</v>
      </c>
      <c r="AQ621" s="439">
        <f t="shared" si="668"/>
        <v>0</v>
      </c>
      <c r="AR621" s="439">
        <f t="shared" si="668"/>
        <v>-5</v>
      </c>
      <c r="AS621" s="439">
        <f t="shared" si="668"/>
        <v>-5</v>
      </c>
      <c r="AT621" s="440">
        <f t="shared" si="669"/>
        <v>-10</v>
      </c>
      <c r="AU621" s="361">
        <f t="shared" si="669"/>
        <v>0</v>
      </c>
      <c r="AV621" s="361">
        <f t="shared" si="670"/>
        <v>0</v>
      </c>
      <c r="AW621" s="726">
        <f t="shared" si="670"/>
        <v>0</v>
      </c>
      <c r="AX621" s="439">
        <f>-AX700</f>
        <v>0</v>
      </c>
      <c r="AY621" s="440">
        <f t="shared" si="671"/>
        <v>0</v>
      </c>
      <c r="AZ621" s="439">
        <f>-AZ700</f>
        <v>0</v>
      </c>
      <c r="BA621" s="439">
        <f>-BA700</f>
        <v>0</v>
      </c>
      <c r="BB621" s="439">
        <f>-BB700</f>
        <v>0</v>
      </c>
      <c r="BC621" s="439">
        <f>-BC700</f>
        <v>0</v>
      </c>
      <c r="BD621" s="440">
        <f t="shared" si="672"/>
        <v>0</v>
      </c>
      <c r="BE621" s="440">
        <f>-BE700</f>
        <v>0</v>
      </c>
      <c r="BF621" s="440">
        <f>-BF700</f>
        <v>0</v>
      </c>
      <c r="BG621" s="440">
        <f>-BG700</f>
        <v>0</v>
      </c>
      <c r="BH621" s="361"/>
    </row>
    <row r="622" spans="1:60" s="356" customFormat="1" x14ac:dyDescent="0.25">
      <c r="A622" s="526" t="str">
        <f t="shared" si="652"/>
        <v>Receipt of government grants</v>
      </c>
      <c r="B622" s="439"/>
      <c r="C622" s="440">
        <f t="shared" si="653"/>
        <v>0</v>
      </c>
      <c r="D622" s="440">
        <f t="shared" si="653"/>
        <v>0</v>
      </c>
      <c r="E622" s="440">
        <f t="shared" si="653"/>
        <v>0</v>
      </c>
      <c r="F622" s="440">
        <f t="shared" si="653"/>
        <v>0</v>
      </c>
      <c r="G622" s="439">
        <f t="shared" si="653"/>
        <v>0</v>
      </c>
      <c r="H622" s="439">
        <f t="shared" si="654"/>
        <v>0</v>
      </c>
      <c r="I622" s="439">
        <f t="shared" si="654"/>
        <v>0</v>
      </c>
      <c r="J622" s="439">
        <f t="shared" si="654"/>
        <v>0</v>
      </c>
      <c r="K622" s="440">
        <f t="shared" si="655"/>
        <v>0</v>
      </c>
      <c r="L622" s="439">
        <f t="shared" si="655"/>
        <v>0</v>
      </c>
      <c r="M622" s="439">
        <f t="shared" si="656"/>
        <v>0</v>
      </c>
      <c r="N622" s="439">
        <f t="shared" si="656"/>
        <v>0</v>
      </c>
      <c r="O622" s="439">
        <f t="shared" si="656"/>
        <v>0</v>
      </c>
      <c r="P622" s="440">
        <f t="shared" si="657"/>
        <v>0</v>
      </c>
      <c r="Q622" s="439">
        <f t="shared" si="657"/>
        <v>0</v>
      </c>
      <c r="R622" s="439">
        <f t="shared" si="658"/>
        <v>0</v>
      </c>
      <c r="S622" s="439">
        <f t="shared" si="658"/>
        <v>0</v>
      </c>
      <c r="T622" s="439">
        <f t="shared" si="658"/>
        <v>0</v>
      </c>
      <c r="U622" s="440">
        <f t="shared" si="659"/>
        <v>0</v>
      </c>
      <c r="V622" s="439">
        <f t="shared" si="659"/>
        <v>0</v>
      </c>
      <c r="W622" s="439">
        <f t="shared" si="660"/>
        <v>0</v>
      </c>
      <c r="X622" s="439">
        <f t="shared" si="660"/>
        <v>0</v>
      </c>
      <c r="Y622" s="439">
        <f t="shared" si="660"/>
        <v>0</v>
      </c>
      <c r="Z622" s="440">
        <f t="shared" si="661"/>
        <v>0</v>
      </c>
      <c r="AA622" s="439">
        <f t="shared" si="661"/>
        <v>0</v>
      </c>
      <c r="AB622" s="439">
        <f t="shared" si="662"/>
        <v>0</v>
      </c>
      <c r="AC622" s="439">
        <f t="shared" si="662"/>
        <v>0</v>
      </c>
      <c r="AD622" s="439">
        <f t="shared" si="662"/>
        <v>0</v>
      </c>
      <c r="AE622" s="440">
        <f t="shared" si="663"/>
        <v>0</v>
      </c>
      <c r="AF622" s="439">
        <f t="shared" si="663"/>
        <v>0</v>
      </c>
      <c r="AG622" s="439">
        <f t="shared" si="664"/>
        <v>0</v>
      </c>
      <c r="AH622" s="439">
        <f t="shared" si="664"/>
        <v>0</v>
      </c>
      <c r="AI622" s="439">
        <f t="shared" si="664"/>
        <v>0</v>
      </c>
      <c r="AJ622" s="440">
        <f t="shared" si="665"/>
        <v>0</v>
      </c>
      <c r="AK622" s="439">
        <f t="shared" si="665"/>
        <v>0</v>
      </c>
      <c r="AL622" s="439">
        <f t="shared" si="666"/>
        <v>0</v>
      </c>
      <c r="AM622" s="439">
        <f t="shared" si="666"/>
        <v>0</v>
      </c>
      <c r="AN622" s="439">
        <f t="shared" si="666"/>
        <v>46</v>
      </c>
      <c r="AO622" s="440">
        <f t="shared" si="667"/>
        <v>46</v>
      </c>
      <c r="AP622" s="439">
        <f t="shared" si="667"/>
        <v>1</v>
      </c>
      <c r="AQ622" s="439">
        <f t="shared" si="668"/>
        <v>0</v>
      </c>
      <c r="AR622" s="439">
        <f t="shared" si="668"/>
        <v>0</v>
      </c>
      <c r="AS622" s="439">
        <f t="shared" si="668"/>
        <v>122</v>
      </c>
      <c r="AT622" s="440">
        <f t="shared" si="669"/>
        <v>123</v>
      </c>
      <c r="AU622" s="439">
        <f t="shared" si="669"/>
        <v>6</v>
      </c>
      <c r="AV622" s="439">
        <f t="shared" si="670"/>
        <v>0</v>
      </c>
      <c r="AW622" s="726">
        <f t="shared" si="670"/>
        <v>0</v>
      </c>
      <c r="AX622" s="439"/>
      <c r="AY622" s="440">
        <f t="shared" si="671"/>
        <v>6</v>
      </c>
      <c r="AZ622" s="439"/>
      <c r="BA622" s="439"/>
      <c r="BB622" s="439"/>
      <c r="BC622" s="439"/>
      <c r="BD622" s="440">
        <f t="shared" si="672"/>
        <v>0</v>
      </c>
      <c r="BE622" s="440"/>
      <c r="BF622" s="440"/>
      <c r="BG622" s="440"/>
      <c r="BH622" s="361"/>
    </row>
    <row r="623" spans="1:60" s="356" customFormat="1" x14ac:dyDescent="0.25">
      <c r="A623" s="526" t="str">
        <f t="shared" si="652"/>
        <v>Purchases of digital assets</v>
      </c>
      <c r="B623" s="439"/>
      <c r="C623" s="440">
        <f t="shared" si="653"/>
        <v>0</v>
      </c>
      <c r="D623" s="440">
        <f t="shared" si="653"/>
        <v>0</v>
      </c>
      <c r="E623" s="440">
        <f t="shared" si="653"/>
        <v>0</v>
      </c>
      <c r="F623" s="440">
        <f t="shared" si="653"/>
        <v>0</v>
      </c>
      <c r="G623" s="439">
        <f t="shared" si="653"/>
        <v>0</v>
      </c>
      <c r="H623" s="439">
        <f t="shared" si="654"/>
        <v>0</v>
      </c>
      <c r="I623" s="439">
        <f t="shared" si="654"/>
        <v>0</v>
      </c>
      <c r="J623" s="439">
        <f t="shared" si="654"/>
        <v>0</v>
      </c>
      <c r="K623" s="440">
        <f t="shared" si="655"/>
        <v>0</v>
      </c>
      <c r="L623" s="439">
        <f t="shared" si="655"/>
        <v>0</v>
      </c>
      <c r="M623" s="439">
        <f t="shared" si="656"/>
        <v>0</v>
      </c>
      <c r="N623" s="439">
        <f t="shared" si="656"/>
        <v>0</v>
      </c>
      <c r="O623" s="439">
        <f t="shared" si="656"/>
        <v>0</v>
      </c>
      <c r="P623" s="440">
        <f t="shared" si="657"/>
        <v>0</v>
      </c>
      <c r="Q623" s="439">
        <f t="shared" si="657"/>
        <v>0</v>
      </c>
      <c r="R623" s="439">
        <f t="shared" si="658"/>
        <v>0</v>
      </c>
      <c r="S623" s="439">
        <f t="shared" si="658"/>
        <v>0</v>
      </c>
      <c r="T623" s="439">
        <f t="shared" si="658"/>
        <v>0</v>
      </c>
      <c r="U623" s="440">
        <f t="shared" si="659"/>
        <v>0</v>
      </c>
      <c r="V623" s="439">
        <f t="shared" si="659"/>
        <v>0</v>
      </c>
      <c r="W623" s="439">
        <f t="shared" si="660"/>
        <v>0</v>
      </c>
      <c r="X623" s="439">
        <f t="shared" si="660"/>
        <v>0</v>
      </c>
      <c r="Y623" s="439">
        <f t="shared" si="660"/>
        <v>0</v>
      </c>
      <c r="Z623" s="440">
        <f t="shared" si="661"/>
        <v>0</v>
      </c>
      <c r="AA623" s="439">
        <f t="shared" si="661"/>
        <v>0</v>
      </c>
      <c r="AB623" s="439">
        <f t="shared" si="662"/>
        <v>0</v>
      </c>
      <c r="AC623" s="439">
        <f t="shared" si="662"/>
        <v>0</v>
      </c>
      <c r="AD623" s="439">
        <f t="shared" si="662"/>
        <v>0</v>
      </c>
      <c r="AE623" s="440">
        <f t="shared" si="663"/>
        <v>0</v>
      </c>
      <c r="AF623" s="439">
        <f t="shared" si="663"/>
        <v>0</v>
      </c>
      <c r="AG623" s="439">
        <f t="shared" si="664"/>
        <v>0</v>
      </c>
      <c r="AH623" s="439">
        <f t="shared" si="664"/>
        <v>0</v>
      </c>
      <c r="AI623" s="439">
        <f t="shared" si="664"/>
        <v>0</v>
      </c>
      <c r="AJ623" s="440">
        <f t="shared" si="665"/>
        <v>0</v>
      </c>
      <c r="AK623" s="439">
        <f t="shared" si="665"/>
        <v>0</v>
      </c>
      <c r="AL623" s="439">
        <f t="shared" si="666"/>
        <v>0</v>
      </c>
      <c r="AM623" s="439">
        <f t="shared" si="666"/>
        <v>0</v>
      </c>
      <c r="AN623" s="439">
        <f t="shared" si="666"/>
        <v>0</v>
      </c>
      <c r="AO623" s="440">
        <f t="shared" si="667"/>
        <v>0</v>
      </c>
      <c r="AP623" s="439">
        <f t="shared" si="667"/>
        <v>0</v>
      </c>
      <c r="AQ623" s="439">
        <f t="shared" si="668"/>
        <v>0</v>
      </c>
      <c r="AR623" s="439">
        <f t="shared" si="668"/>
        <v>0</v>
      </c>
      <c r="AS623" s="439">
        <f t="shared" si="668"/>
        <v>0</v>
      </c>
      <c r="AT623" s="440">
        <f t="shared" si="669"/>
        <v>0</v>
      </c>
      <c r="AU623" s="439">
        <f t="shared" si="669"/>
        <v>-1500</v>
      </c>
      <c r="AV623" s="439">
        <f t="shared" si="670"/>
        <v>0</v>
      </c>
      <c r="AW623" s="726">
        <f t="shared" si="670"/>
        <v>0</v>
      </c>
      <c r="AX623" s="439"/>
      <c r="AY623" s="440">
        <f t="shared" si="671"/>
        <v>-1500</v>
      </c>
      <c r="AZ623" s="439"/>
      <c r="BA623" s="439"/>
      <c r="BB623" s="439"/>
      <c r="BC623" s="439"/>
      <c r="BD623" s="440">
        <f t="shared" si="672"/>
        <v>0</v>
      </c>
      <c r="BE623" s="440"/>
      <c r="BF623" s="440"/>
      <c r="BG623" s="440"/>
      <c r="BH623" s="361"/>
    </row>
    <row r="624" spans="1:60" s="356" customFormat="1" x14ac:dyDescent="0.25">
      <c r="A624" s="526" t="str">
        <f t="shared" si="652"/>
        <v>Proceeds from sales of digital assets</v>
      </c>
      <c r="B624" s="439"/>
      <c r="C624" s="440">
        <f t="shared" si="653"/>
        <v>0</v>
      </c>
      <c r="D624" s="440">
        <f t="shared" si="653"/>
        <v>0</v>
      </c>
      <c r="E624" s="440">
        <f t="shared" si="653"/>
        <v>0</v>
      </c>
      <c r="F624" s="440">
        <f t="shared" si="653"/>
        <v>0</v>
      </c>
      <c r="G624" s="439">
        <f t="shared" si="653"/>
        <v>0</v>
      </c>
      <c r="H624" s="439">
        <f t="shared" si="654"/>
        <v>0</v>
      </c>
      <c r="I624" s="439">
        <f t="shared" si="654"/>
        <v>0</v>
      </c>
      <c r="J624" s="439">
        <f t="shared" si="654"/>
        <v>0</v>
      </c>
      <c r="K624" s="440">
        <f t="shared" si="655"/>
        <v>0</v>
      </c>
      <c r="L624" s="439">
        <f t="shared" si="655"/>
        <v>0</v>
      </c>
      <c r="M624" s="439">
        <f t="shared" si="656"/>
        <v>0</v>
      </c>
      <c r="N624" s="439">
        <f t="shared" si="656"/>
        <v>0</v>
      </c>
      <c r="O624" s="439">
        <f t="shared" si="656"/>
        <v>0</v>
      </c>
      <c r="P624" s="440">
        <f t="shared" si="657"/>
        <v>0</v>
      </c>
      <c r="Q624" s="439">
        <f t="shared" si="657"/>
        <v>0</v>
      </c>
      <c r="R624" s="439">
        <f t="shared" si="658"/>
        <v>0</v>
      </c>
      <c r="S624" s="439">
        <f t="shared" si="658"/>
        <v>0</v>
      </c>
      <c r="T624" s="439">
        <f t="shared" si="658"/>
        <v>0</v>
      </c>
      <c r="U624" s="440">
        <f t="shared" si="659"/>
        <v>0</v>
      </c>
      <c r="V624" s="439">
        <f t="shared" si="659"/>
        <v>0</v>
      </c>
      <c r="W624" s="439">
        <f t="shared" si="660"/>
        <v>0</v>
      </c>
      <c r="X624" s="439">
        <f t="shared" si="660"/>
        <v>0</v>
      </c>
      <c r="Y624" s="439">
        <f t="shared" si="660"/>
        <v>0</v>
      </c>
      <c r="Z624" s="440">
        <f t="shared" si="661"/>
        <v>0</v>
      </c>
      <c r="AA624" s="439">
        <f t="shared" si="661"/>
        <v>0</v>
      </c>
      <c r="AB624" s="439">
        <f t="shared" si="662"/>
        <v>0</v>
      </c>
      <c r="AC624" s="439">
        <f t="shared" si="662"/>
        <v>0</v>
      </c>
      <c r="AD624" s="439">
        <f t="shared" si="662"/>
        <v>0</v>
      </c>
      <c r="AE624" s="440">
        <f t="shared" si="663"/>
        <v>0</v>
      </c>
      <c r="AF624" s="439">
        <f t="shared" si="663"/>
        <v>0</v>
      </c>
      <c r="AG624" s="439">
        <f t="shared" si="664"/>
        <v>0</v>
      </c>
      <c r="AH624" s="439">
        <f t="shared" si="664"/>
        <v>0</v>
      </c>
      <c r="AI624" s="439">
        <f t="shared" si="664"/>
        <v>0</v>
      </c>
      <c r="AJ624" s="440">
        <f t="shared" si="665"/>
        <v>0</v>
      </c>
      <c r="AK624" s="439">
        <f t="shared" si="665"/>
        <v>0</v>
      </c>
      <c r="AL624" s="439">
        <f t="shared" si="666"/>
        <v>0</v>
      </c>
      <c r="AM624" s="439">
        <f t="shared" si="666"/>
        <v>0</v>
      </c>
      <c r="AN624" s="439">
        <f t="shared" si="666"/>
        <v>0</v>
      </c>
      <c r="AO624" s="440">
        <f t="shared" si="667"/>
        <v>0</v>
      </c>
      <c r="AP624" s="439">
        <f t="shared" si="667"/>
        <v>0</v>
      </c>
      <c r="AQ624" s="439">
        <f t="shared" si="668"/>
        <v>0</v>
      </c>
      <c r="AR624" s="439">
        <f t="shared" si="668"/>
        <v>0</v>
      </c>
      <c r="AS624" s="439">
        <f t="shared" si="668"/>
        <v>0</v>
      </c>
      <c r="AT624" s="440">
        <f t="shared" si="669"/>
        <v>0</v>
      </c>
      <c r="AU624" s="439">
        <f t="shared" si="669"/>
        <v>272</v>
      </c>
      <c r="AV624" s="439">
        <f t="shared" si="670"/>
        <v>0</v>
      </c>
      <c r="AW624" s="726">
        <f t="shared" si="670"/>
        <v>0</v>
      </c>
      <c r="AX624" s="439"/>
      <c r="AY624" s="440">
        <f t="shared" si="671"/>
        <v>272</v>
      </c>
      <c r="AZ624" s="439"/>
      <c r="BA624" s="439"/>
      <c r="BB624" s="439"/>
      <c r="BC624" s="439"/>
      <c r="BD624" s="440">
        <f t="shared" si="672"/>
        <v>0</v>
      </c>
      <c r="BE624" s="440"/>
      <c r="BF624" s="440"/>
      <c r="BG624" s="440"/>
      <c r="BH624" s="361"/>
    </row>
    <row r="625" spans="1:60" s="356" customFormat="1" x14ac:dyDescent="0.25">
      <c r="A625" s="526" t="str">
        <f t="shared" si="652"/>
        <v>Withdrawals out of our dedicated DOE account, net</v>
      </c>
      <c r="B625" s="439"/>
      <c r="C625" s="440">
        <f t="shared" si="653"/>
        <v>0</v>
      </c>
      <c r="D625" s="440">
        <f t="shared" si="653"/>
        <v>-73.596999999999994</v>
      </c>
      <c r="E625" s="440">
        <f t="shared" si="653"/>
        <v>50.121000000000002</v>
      </c>
      <c r="F625" s="440">
        <f t="shared" si="653"/>
        <v>8.6199999999999992</v>
      </c>
      <c r="G625" s="439">
        <f t="shared" si="653"/>
        <v>-6.9000000000000006E-2</v>
      </c>
      <c r="H625" s="439">
        <f t="shared" si="654"/>
        <v>14.821000000000002</v>
      </c>
      <c r="I625" s="439">
        <f t="shared" si="654"/>
        <v>0</v>
      </c>
      <c r="J625" s="439">
        <f t="shared" si="654"/>
        <v>0</v>
      </c>
      <c r="K625" s="440">
        <f t="shared" si="655"/>
        <v>14.752000000000001</v>
      </c>
      <c r="L625" s="439">
        <f t="shared" si="655"/>
        <v>0</v>
      </c>
      <c r="M625" s="439">
        <f t="shared" si="656"/>
        <v>0</v>
      </c>
      <c r="N625" s="439">
        <f t="shared" si="656"/>
        <v>0</v>
      </c>
      <c r="O625" s="439">
        <f t="shared" si="656"/>
        <v>0</v>
      </c>
      <c r="P625" s="440">
        <f t="shared" si="657"/>
        <v>0</v>
      </c>
      <c r="Q625" s="439">
        <f t="shared" si="657"/>
        <v>0</v>
      </c>
      <c r="R625" s="439">
        <f t="shared" si="658"/>
        <v>0</v>
      </c>
      <c r="S625" s="439">
        <f t="shared" si="658"/>
        <v>0</v>
      </c>
      <c r="T625" s="439">
        <f t="shared" si="658"/>
        <v>0</v>
      </c>
      <c r="U625" s="440">
        <f t="shared" si="659"/>
        <v>0</v>
      </c>
      <c r="V625" s="439">
        <f t="shared" si="659"/>
        <v>0</v>
      </c>
      <c r="W625" s="439">
        <f t="shared" si="660"/>
        <v>0</v>
      </c>
      <c r="X625" s="439">
        <f t="shared" si="660"/>
        <v>0</v>
      </c>
      <c r="Y625" s="439">
        <f t="shared" si="660"/>
        <v>0</v>
      </c>
      <c r="Z625" s="440">
        <f t="shared" si="661"/>
        <v>0</v>
      </c>
      <c r="AA625" s="439">
        <f t="shared" si="661"/>
        <v>0</v>
      </c>
      <c r="AB625" s="439">
        <f t="shared" si="662"/>
        <v>0</v>
      </c>
      <c r="AC625" s="439">
        <f t="shared" si="662"/>
        <v>0</v>
      </c>
      <c r="AD625" s="439">
        <f t="shared" si="662"/>
        <v>0</v>
      </c>
      <c r="AE625" s="440">
        <f t="shared" si="663"/>
        <v>0</v>
      </c>
      <c r="AF625" s="439">
        <f t="shared" si="663"/>
        <v>0</v>
      </c>
      <c r="AG625" s="439">
        <f t="shared" si="664"/>
        <v>0</v>
      </c>
      <c r="AH625" s="439">
        <f t="shared" si="664"/>
        <v>0</v>
      </c>
      <c r="AI625" s="439">
        <f t="shared" si="664"/>
        <v>0</v>
      </c>
      <c r="AJ625" s="440">
        <f t="shared" si="665"/>
        <v>0</v>
      </c>
      <c r="AK625" s="439">
        <f t="shared" si="665"/>
        <v>0</v>
      </c>
      <c r="AL625" s="439">
        <f t="shared" si="666"/>
        <v>0</v>
      </c>
      <c r="AM625" s="439">
        <f t="shared" si="666"/>
        <v>0</v>
      </c>
      <c r="AN625" s="439">
        <f t="shared" si="666"/>
        <v>0</v>
      </c>
      <c r="AO625" s="440">
        <f t="shared" si="667"/>
        <v>0</v>
      </c>
      <c r="AP625" s="439">
        <f t="shared" si="667"/>
        <v>0</v>
      </c>
      <c r="AQ625" s="439">
        <f t="shared" si="668"/>
        <v>0</v>
      </c>
      <c r="AR625" s="439">
        <f t="shared" si="668"/>
        <v>0</v>
      </c>
      <c r="AS625" s="439">
        <f t="shared" si="668"/>
        <v>0</v>
      </c>
      <c r="AT625" s="440">
        <f t="shared" si="669"/>
        <v>0</v>
      </c>
      <c r="AU625" s="439">
        <f t="shared" si="669"/>
        <v>0</v>
      </c>
      <c r="AV625" s="439">
        <f t="shared" si="670"/>
        <v>0</v>
      </c>
      <c r="AW625" s="726">
        <f t="shared" si="670"/>
        <v>0</v>
      </c>
      <c r="AX625" s="439"/>
      <c r="AY625" s="440">
        <f t="shared" si="671"/>
        <v>0</v>
      </c>
      <c r="AZ625" s="439"/>
      <c r="BA625" s="439"/>
      <c r="BB625" s="439"/>
      <c r="BC625" s="439"/>
      <c r="BD625" s="440">
        <f t="shared" si="672"/>
        <v>0</v>
      </c>
      <c r="BE625" s="440"/>
      <c r="BF625" s="440"/>
      <c r="BG625" s="440"/>
      <c r="BH625" s="361"/>
    </row>
    <row r="626" spans="1:60" s="356" customFormat="1" x14ac:dyDescent="0.25">
      <c r="A626" s="526" t="str">
        <f t="shared" si="652"/>
        <v>(Increase) decrease in other restricted cash</v>
      </c>
      <c r="B626" s="439"/>
      <c r="C626" s="440">
        <f t="shared" si="653"/>
        <v>-2.36</v>
      </c>
      <c r="D626" s="440">
        <f t="shared" si="653"/>
        <v>-1.2869999999999999</v>
      </c>
      <c r="E626" s="440">
        <f t="shared" si="653"/>
        <v>-3.2010000000000001</v>
      </c>
      <c r="F626" s="440">
        <f t="shared" si="653"/>
        <v>-1.33</v>
      </c>
      <c r="G626" s="439">
        <f t="shared" si="653"/>
        <v>2.56</v>
      </c>
      <c r="H626" s="439">
        <f t="shared" si="654"/>
        <v>-1.48</v>
      </c>
      <c r="I626" s="439">
        <f t="shared" si="654"/>
        <v>-0.95400000000000007</v>
      </c>
      <c r="J626" s="439">
        <f t="shared" si="654"/>
        <v>-7.1000000000000008E-2</v>
      </c>
      <c r="K626" s="440">
        <f t="shared" si="655"/>
        <v>5.5E-2</v>
      </c>
      <c r="L626" s="439">
        <f t="shared" si="655"/>
        <v>1.2949999999999999</v>
      </c>
      <c r="M626" s="439">
        <f t="shared" si="656"/>
        <v>0.32100000000000017</v>
      </c>
      <c r="N626" s="439">
        <f t="shared" si="656"/>
        <v>-1.905</v>
      </c>
      <c r="O626" s="439">
        <f t="shared" si="656"/>
        <v>-3.56</v>
      </c>
      <c r="P626" s="440">
        <f t="shared" si="657"/>
        <v>-3.8490000000000002</v>
      </c>
      <c r="Q626" s="439">
        <f t="shared" si="657"/>
        <v>-6.2839999999999998</v>
      </c>
      <c r="R626" s="439">
        <f t="shared" si="658"/>
        <v>-5.4119999999999999</v>
      </c>
      <c r="S626" s="439">
        <f t="shared" si="658"/>
        <v>-11.686999999999999</v>
      </c>
      <c r="T626" s="439">
        <f t="shared" si="658"/>
        <v>-3.0579999999999998</v>
      </c>
      <c r="U626" s="440">
        <f t="shared" si="659"/>
        <v>-26.440999999999999</v>
      </c>
      <c r="V626" s="439">
        <f t="shared" si="659"/>
        <v>-16.96</v>
      </c>
      <c r="W626" s="439">
        <f t="shared" si="660"/>
        <v>-41.801000000000002</v>
      </c>
      <c r="X626" s="439">
        <f t="shared" si="660"/>
        <v>-20.395000000000003</v>
      </c>
      <c r="Y626" s="439">
        <f t="shared" si="660"/>
        <v>-126.99299999999999</v>
      </c>
      <c r="Z626" s="440">
        <f t="shared" si="661"/>
        <v>-206.149</v>
      </c>
      <c r="AA626" s="439">
        <f t="shared" si="661"/>
        <v>-45.223999999999997</v>
      </c>
      <c r="AB626" s="439">
        <f t="shared" si="662"/>
        <v>-57.304000000000009</v>
      </c>
      <c r="AC626" s="439">
        <f t="shared" si="662"/>
        <v>-70.204999999999998</v>
      </c>
      <c r="AD626" s="439">
        <f t="shared" si="662"/>
        <v>-50.356999999999999</v>
      </c>
      <c r="AE626" s="440">
        <f t="shared" si="663"/>
        <v>-223.09</v>
      </c>
      <c r="AF626" s="439">
        <f t="shared" si="663"/>
        <v>0</v>
      </c>
      <c r="AG626" s="439">
        <f t="shared" si="664"/>
        <v>0</v>
      </c>
      <c r="AH626" s="439">
        <f t="shared" si="664"/>
        <v>0</v>
      </c>
      <c r="AI626" s="439">
        <f t="shared" si="664"/>
        <v>0</v>
      </c>
      <c r="AJ626" s="440">
        <f t="shared" si="665"/>
        <v>0</v>
      </c>
      <c r="AK626" s="439">
        <f t="shared" si="665"/>
        <v>0</v>
      </c>
      <c r="AL626" s="439">
        <f t="shared" si="666"/>
        <v>0</v>
      </c>
      <c r="AM626" s="439">
        <f t="shared" si="666"/>
        <v>0</v>
      </c>
      <c r="AN626" s="439">
        <f t="shared" si="666"/>
        <v>0</v>
      </c>
      <c r="AO626" s="440">
        <f t="shared" si="667"/>
        <v>0</v>
      </c>
      <c r="AP626" s="439">
        <f t="shared" si="667"/>
        <v>0</v>
      </c>
      <c r="AQ626" s="439">
        <f t="shared" si="668"/>
        <v>0</v>
      </c>
      <c r="AR626" s="439">
        <f t="shared" si="668"/>
        <v>0</v>
      </c>
      <c r="AS626" s="439">
        <f t="shared" si="668"/>
        <v>0</v>
      </c>
      <c r="AT626" s="440">
        <f t="shared" si="669"/>
        <v>0</v>
      </c>
      <c r="AU626" s="439">
        <f t="shared" si="669"/>
        <v>0</v>
      </c>
      <c r="AV626" s="439">
        <f t="shared" si="670"/>
        <v>0</v>
      </c>
      <c r="AW626" s="726">
        <f t="shared" si="670"/>
        <v>0</v>
      </c>
      <c r="AX626" s="439"/>
      <c r="AY626" s="440">
        <f t="shared" si="671"/>
        <v>0</v>
      </c>
      <c r="AZ626" s="439"/>
      <c r="BA626" s="439"/>
      <c r="BB626" s="439"/>
      <c r="BC626" s="439"/>
      <c r="BD626" s="440">
        <f t="shared" si="672"/>
        <v>0</v>
      </c>
      <c r="BE626" s="440"/>
      <c r="BF626" s="440"/>
      <c r="BG626" s="440"/>
      <c r="BH626" s="361"/>
    </row>
    <row r="627" spans="1:60" s="356" customFormat="1" x14ac:dyDescent="0.25">
      <c r="A627" s="526" t="str">
        <f t="shared" si="652"/>
        <v>Purchases of short-term marketable securities</v>
      </c>
      <c r="B627" s="439"/>
      <c r="C627" s="440">
        <f t="shared" si="653"/>
        <v>0</v>
      </c>
      <c r="D627" s="440">
        <f t="shared" si="653"/>
        <v>0</v>
      </c>
      <c r="E627" s="440">
        <f t="shared" si="653"/>
        <v>-64.951999999999998</v>
      </c>
      <c r="F627" s="440">
        <f t="shared" si="653"/>
        <v>-14.992000000000001</v>
      </c>
      <c r="G627" s="439">
        <f t="shared" si="653"/>
        <v>0</v>
      </c>
      <c r="H627" s="439">
        <f t="shared" si="654"/>
        <v>0</v>
      </c>
      <c r="I627" s="439">
        <f t="shared" si="654"/>
        <v>0</v>
      </c>
      <c r="J627" s="439">
        <f t="shared" si="654"/>
        <v>0</v>
      </c>
      <c r="K627" s="440">
        <f t="shared" si="655"/>
        <v>0</v>
      </c>
      <c r="L627" s="439">
        <f t="shared" si="655"/>
        <v>-189.11099999999999</v>
      </c>
      <c r="M627" s="439">
        <f t="shared" si="656"/>
        <v>-11.157000000000011</v>
      </c>
      <c r="N627" s="439">
        <f t="shared" si="656"/>
        <v>-5.5629999999999882</v>
      </c>
      <c r="O627" s="439">
        <f t="shared" si="656"/>
        <v>-1.0000000000019327E-2</v>
      </c>
      <c r="P627" s="440">
        <f t="shared" si="657"/>
        <v>-205.84100000000001</v>
      </c>
      <c r="Q627" s="439">
        <f t="shared" si="657"/>
        <v>0</v>
      </c>
      <c r="R627" s="439">
        <f t="shared" si="658"/>
        <v>0</v>
      </c>
      <c r="S627" s="439">
        <f t="shared" si="658"/>
        <v>0</v>
      </c>
      <c r="T627" s="439">
        <f t="shared" si="658"/>
        <v>0</v>
      </c>
      <c r="U627" s="440">
        <f t="shared" si="659"/>
        <v>0</v>
      </c>
      <c r="V627" s="439">
        <f t="shared" si="659"/>
        <v>0</v>
      </c>
      <c r="W627" s="439">
        <f t="shared" si="660"/>
        <v>0</v>
      </c>
      <c r="X627" s="439">
        <f t="shared" si="660"/>
        <v>0</v>
      </c>
      <c r="Y627" s="439">
        <f t="shared" si="660"/>
        <v>0</v>
      </c>
      <c r="Z627" s="440">
        <f t="shared" si="661"/>
        <v>0</v>
      </c>
      <c r="AA627" s="439">
        <f t="shared" si="661"/>
        <v>0</v>
      </c>
      <c r="AB627" s="439">
        <f t="shared" si="662"/>
        <v>0</v>
      </c>
      <c r="AC627" s="439">
        <f t="shared" si="662"/>
        <v>0</v>
      </c>
      <c r="AD627" s="439">
        <f t="shared" si="662"/>
        <v>0</v>
      </c>
      <c r="AE627" s="440">
        <f t="shared" si="663"/>
        <v>0</v>
      </c>
      <c r="AF627" s="439">
        <f t="shared" si="663"/>
        <v>0</v>
      </c>
      <c r="AG627" s="439">
        <f t="shared" si="664"/>
        <v>0</v>
      </c>
      <c r="AH627" s="439">
        <f t="shared" si="664"/>
        <v>0</v>
      </c>
      <c r="AI627" s="439">
        <f t="shared" si="664"/>
        <v>0</v>
      </c>
      <c r="AJ627" s="440">
        <f t="shared" si="665"/>
        <v>0</v>
      </c>
      <c r="AK627" s="439">
        <f t="shared" si="665"/>
        <v>0</v>
      </c>
      <c r="AL627" s="439">
        <f t="shared" si="666"/>
        <v>0</v>
      </c>
      <c r="AM627" s="439">
        <f t="shared" si="666"/>
        <v>0</v>
      </c>
      <c r="AN627" s="439">
        <f t="shared" si="666"/>
        <v>0</v>
      </c>
      <c r="AO627" s="440">
        <f t="shared" si="667"/>
        <v>0</v>
      </c>
      <c r="AP627" s="439">
        <f t="shared" si="667"/>
        <v>0</v>
      </c>
      <c r="AQ627" s="439">
        <f t="shared" si="668"/>
        <v>0</v>
      </c>
      <c r="AR627" s="439">
        <f t="shared" si="668"/>
        <v>0</v>
      </c>
      <c r="AS627" s="439">
        <f t="shared" si="668"/>
        <v>0</v>
      </c>
      <c r="AT627" s="440">
        <f t="shared" si="669"/>
        <v>0</v>
      </c>
      <c r="AU627" s="439">
        <f t="shared" si="669"/>
        <v>0</v>
      </c>
      <c r="AV627" s="439">
        <f t="shared" si="670"/>
        <v>0</v>
      </c>
      <c r="AW627" s="726">
        <f t="shared" si="670"/>
        <v>-30</v>
      </c>
      <c r="AX627" s="439"/>
      <c r="AY627" s="440">
        <f t="shared" si="671"/>
        <v>-30</v>
      </c>
      <c r="AZ627" s="439"/>
      <c r="BA627" s="439"/>
      <c r="BB627" s="439"/>
      <c r="BC627" s="439"/>
      <c r="BD627" s="440">
        <f t="shared" si="672"/>
        <v>0</v>
      </c>
      <c r="BE627" s="440"/>
      <c r="BF627" s="440"/>
      <c r="BG627" s="440"/>
      <c r="BH627" s="361"/>
    </row>
    <row r="628" spans="1:60" s="356" customFormat="1" x14ac:dyDescent="0.25">
      <c r="A628" s="526" t="str">
        <f t="shared" si="652"/>
        <v>Maturities of short-term marketable securities</v>
      </c>
      <c r="B628" s="439"/>
      <c r="C628" s="440">
        <f t="shared" si="653"/>
        <v>0</v>
      </c>
      <c r="D628" s="440">
        <f t="shared" si="653"/>
        <v>0</v>
      </c>
      <c r="E628" s="440">
        <f t="shared" si="653"/>
        <v>40</v>
      </c>
      <c r="F628" s="440">
        <f t="shared" si="653"/>
        <v>40</v>
      </c>
      <c r="G628" s="439">
        <f t="shared" si="653"/>
        <v>0</v>
      </c>
      <c r="H628" s="439">
        <f t="shared" si="654"/>
        <v>0</v>
      </c>
      <c r="I628" s="439">
        <f t="shared" si="654"/>
        <v>0</v>
      </c>
      <c r="J628" s="439">
        <f t="shared" si="654"/>
        <v>0</v>
      </c>
      <c r="K628" s="440">
        <f t="shared" si="655"/>
        <v>0</v>
      </c>
      <c r="L628" s="439">
        <f t="shared" si="655"/>
        <v>0</v>
      </c>
      <c r="M628" s="439">
        <f t="shared" si="656"/>
        <v>189.131</v>
      </c>
      <c r="N628" s="439">
        <f t="shared" si="656"/>
        <v>0</v>
      </c>
      <c r="O628" s="439">
        <f t="shared" si="656"/>
        <v>0</v>
      </c>
      <c r="P628" s="440">
        <f t="shared" si="657"/>
        <v>189.131</v>
      </c>
      <c r="Q628" s="439">
        <f t="shared" si="657"/>
        <v>0</v>
      </c>
      <c r="R628" s="439">
        <f t="shared" si="658"/>
        <v>0</v>
      </c>
      <c r="S628" s="439">
        <f t="shared" si="658"/>
        <v>0</v>
      </c>
      <c r="T628" s="439">
        <f t="shared" si="658"/>
        <v>0</v>
      </c>
      <c r="U628" s="440">
        <f t="shared" si="659"/>
        <v>0</v>
      </c>
      <c r="V628" s="439">
        <f t="shared" si="659"/>
        <v>0</v>
      </c>
      <c r="W628" s="439">
        <f t="shared" si="660"/>
        <v>16.667000000000002</v>
      </c>
      <c r="X628" s="439">
        <f t="shared" si="660"/>
        <v>0</v>
      </c>
      <c r="Y628" s="439">
        <f t="shared" si="660"/>
        <v>0</v>
      </c>
      <c r="Z628" s="440">
        <f t="shared" si="661"/>
        <v>16.667000000000002</v>
      </c>
      <c r="AA628" s="439">
        <f t="shared" si="661"/>
        <v>0</v>
      </c>
      <c r="AB628" s="439">
        <f t="shared" si="662"/>
        <v>0</v>
      </c>
      <c r="AC628" s="439">
        <f t="shared" si="662"/>
        <v>0</v>
      </c>
      <c r="AD628" s="439">
        <f t="shared" si="662"/>
        <v>0</v>
      </c>
      <c r="AE628" s="440">
        <f t="shared" si="663"/>
        <v>0</v>
      </c>
      <c r="AF628" s="439">
        <f t="shared" si="663"/>
        <v>0</v>
      </c>
      <c r="AG628" s="439">
        <f t="shared" si="664"/>
        <v>0</v>
      </c>
      <c r="AH628" s="439">
        <f t="shared" si="664"/>
        <v>0</v>
      </c>
      <c r="AI628" s="439">
        <f t="shared" si="664"/>
        <v>0</v>
      </c>
      <c r="AJ628" s="440">
        <f t="shared" si="665"/>
        <v>0</v>
      </c>
      <c r="AK628" s="439">
        <f t="shared" si="665"/>
        <v>0</v>
      </c>
      <c r="AL628" s="439">
        <f t="shared" si="666"/>
        <v>0</v>
      </c>
      <c r="AM628" s="439">
        <f t="shared" si="666"/>
        <v>0</v>
      </c>
      <c r="AN628" s="439">
        <f t="shared" si="666"/>
        <v>0</v>
      </c>
      <c r="AO628" s="440">
        <f t="shared" si="667"/>
        <v>0</v>
      </c>
      <c r="AP628" s="439">
        <f t="shared" si="667"/>
        <v>0</v>
      </c>
      <c r="AQ628" s="439">
        <f t="shared" si="668"/>
        <v>0</v>
      </c>
      <c r="AR628" s="439">
        <f t="shared" si="668"/>
        <v>0</v>
      </c>
      <c r="AS628" s="439">
        <f t="shared" si="668"/>
        <v>0</v>
      </c>
      <c r="AT628" s="440">
        <f t="shared" si="669"/>
        <v>0</v>
      </c>
      <c r="AU628" s="439">
        <f t="shared" si="669"/>
        <v>0</v>
      </c>
      <c r="AV628" s="439">
        <f t="shared" si="670"/>
        <v>0</v>
      </c>
      <c r="AW628" s="726">
        <f t="shared" si="670"/>
        <v>0</v>
      </c>
      <c r="AX628" s="439"/>
      <c r="AY628" s="440">
        <f t="shared" si="671"/>
        <v>0</v>
      </c>
      <c r="AZ628" s="439"/>
      <c r="BA628" s="439"/>
      <c r="BB628" s="439"/>
      <c r="BC628" s="439"/>
      <c r="BD628" s="440">
        <f t="shared" si="672"/>
        <v>0</v>
      </c>
      <c r="BE628" s="440"/>
      <c r="BF628" s="440"/>
      <c r="BG628" s="440"/>
      <c r="BH628" s="361"/>
    </row>
    <row r="629" spans="1:60" s="356" customFormat="1" x14ac:dyDescent="0.25">
      <c r="A629" s="526" t="str">
        <f t="shared" si="652"/>
        <v>Business acquisition</v>
      </c>
      <c r="B629" s="439"/>
      <c r="C629" s="440">
        <f t="shared" si="653"/>
        <v>0</v>
      </c>
      <c r="D629" s="440">
        <f t="shared" si="653"/>
        <v>-65.209999999999994</v>
      </c>
      <c r="E629" s="440">
        <f t="shared" si="653"/>
        <v>0</v>
      </c>
      <c r="F629" s="440">
        <f t="shared" si="653"/>
        <v>0</v>
      </c>
      <c r="G629" s="439">
        <f t="shared" si="653"/>
        <v>0</v>
      </c>
      <c r="H629" s="439">
        <f t="shared" si="654"/>
        <v>0</v>
      </c>
      <c r="I629" s="439">
        <f t="shared" si="654"/>
        <v>0</v>
      </c>
      <c r="J629" s="439">
        <f t="shared" si="654"/>
        <v>0</v>
      </c>
      <c r="K629" s="440">
        <f t="shared" si="655"/>
        <v>0</v>
      </c>
      <c r="L629" s="439">
        <f t="shared" si="655"/>
        <v>0</v>
      </c>
      <c r="M629" s="439">
        <f t="shared" si="656"/>
        <v>0</v>
      </c>
      <c r="N629" s="439">
        <f t="shared" si="656"/>
        <v>0</v>
      </c>
      <c r="O629" s="439">
        <f t="shared" si="656"/>
        <v>0</v>
      </c>
      <c r="P629" s="440">
        <f t="shared" si="657"/>
        <v>0</v>
      </c>
      <c r="Q629" s="439">
        <f t="shared" si="657"/>
        <v>0</v>
      </c>
      <c r="R629" s="439">
        <f t="shared" si="658"/>
        <v>-12.26</v>
      </c>
      <c r="S629" s="439">
        <f t="shared" si="658"/>
        <v>0</v>
      </c>
      <c r="T629" s="439">
        <f t="shared" si="658"/>
        <v>0</v>
      </c>
      <c r="U629" s="440">
        <f t="shared" si="659"/>
        <v>-12.26</v>
      </c>
      <c r="V629" s="439">
        <f t="shared" si="659"/>
        <v>0</v>
      </c>
      <c r="W629" s="439">
        <f t="shared" si="660"/>
        <v>0</v>
      </c>
      <c r="X629" s="439">
        <f t="shared" si="660"/>
        <v>0</v>
      </c>
      <c r="Y629" s="439">
        <f t="shared" si="660"/>
        <v>213.523</v>
      </c>
      <c r="Z629" s="440">
        <f t="shared" si="661"/>
        <v>213.523</v>
      </c>
      <c r="AA629" s="439">
        <f t="shared" si="661"/>
        <v>-109.14700000000001</v>
      </c>
      <c r="AB629" s="439">
        <f t="shared" si="662"/>
        <v>0</v>
      </c>
      <c r="AC629" s="439">
        <f t="shared" si="662"/>
        <v>0</v>
      </c>
      <c r="AD629" s="439">
        <f t="shared" si="662"/>
        <v>-5.3759999999999906</v>
      </c>
      <c r="AE629" s="440">
        <f t="shared" si="663"/>
        <v>-114.523</v>
      </c>
      <c r="AF629" s="439">
        <f t="shared" si="663"/>
        <v>0</v>
      </c>
      <c r="AG629" s="439">
        <f t="shared" si="664"/>
        <v>-5.6040000000000001</v>
      </c>
      <c r="AH629" s="439">
        <f t="shared" si="664"/>
        <v>-1.2000000000000002</v>
      </c>
      <c r="AI629" s="439">
        <f t="shared" si="664"/>
        <v>-11.107999999999999</v>
      </c>
      <c r="AJ629" s="440">
        <f t="shared" si="665"/>
        <v>-17.911999999999999</v>
      </c>
      <c r="AK629" s="439">
        <f t="shared" si="665"/>
        <v>-0.65</v>
      </c>
      <c r="AL629" s="439">
        <f t="shared" si="666"/>
        <v>31.661999999999999</v>
      </c>
      <c r="AM629" s="439">
        <f t="shared" si="666"/>
        <v>-76.012</v>
      </c>
      <c r="AN629" s="439">
        <f t="shared" si="666"/>
        <v>0</v>
      </c>
      <c r="AO629" s="440">
        <f t="shared" si="667"/>
        <v>-45</v>
      </c>
      <c r="AP629" s="439">
        <f t="shared" si="667"/>
        <v>0</v>
      </c>
      <c r="AQ629" s="361">
        <f t="shared" si="668"/>
        <v>0</v>
      </c>
      <c r="AR629" s="439">
        <f t="shared" si="668"/>
        <v>-13</v>
      </c>
      <c r="AS629" s="439">
        <f t="shared" si="668"/>
        <v>0</v>
      </c>
      <c r="AT629" s="440">
        <f t="shared" si="669"/>
        <v>-13</v>
      </c>
      <c r="AU629" s="361">
        <f t="shared" si="669"/>
        <v>0</v>
      </c>
      <c r="AV629" s="361">
        <f t="shared" si="670"/>
        <v>0</v>
      </c>
      <c r="AW629" s="726">
        <f t="shared" si="670"/>
        <v>0</v>
      </c>
      <c r="AX629" s="439">
        <f>AX437</f>
        <v>0</v>
      </c>
      <c r="AY629" s="440">
        <f t="shared" si="671"/>
        <v>0</v>
      </c>
      <c r="AZ629" s="439">
        <f t="shared" ref="AZ629:BC630" si="673">AZ437</f>
        <v>0</v>
      </c>
      <c r="BA629" s="439">
        <f t="shared" si="673"/>
        <v>0</v>
      </c>
      <c r="BB629" s="439">
        <f t="shared" si="673"/>
        <v>0</v>
      </c>
      <c r="BC629" s="439">
        <f t="shared" si="673"/>
        <v>0</v>
      </c>
      <c r="BD629" s="440">
        <f t="shared" si="672"/>
        <v>0</v>
      </c>
      <c r="BE629" s="440">
        <f t="shared" ref="BE629:BG630" si="674">BE437</f>
        <v>0</v>
      </c>
      <c r="BF629" s="440">
        <f t="shared" si="674"/>
        <v>0</v>
      </c>
      <c r="BG629" s="440">
        <f t="shared" si="674"/>
        <v>0</v>
      </c>
      <c r="BH629" s="361"/>
    </row>
    <row r="630" spans="1:60" s="356" customFormat="1" x14ac:dyDescent="0.25">
      <c r="A630" s="466" t="str">
        <f t="shared" si="652"/>
        <v>Proceeds from sale of property and equipment</v>
      </c>
      <c r="B630" s="459"/>
      <c r="C630" s="479">
        <f t="shared" si="653"/>
        <v>0</v>
      </c>
      <c r="D630" s="479">
        <f t="shared" si="653"/>
        <v>0</v>
      </c>
      <c r="E630" s="479">
        <f t="shared" si="653"/>
        <v>0</v>
      </c>
      <c r="F630" s="479">
        <f t="shared" si="653"/>
        <v>0</v>
      </c>
      <c r="G630" s="459">
        <f t="shared" si="653"/>
        <v>0</v>
      </c>
      <c r="H630" s="459">
        <f t="shared" si="654"/>
        <v>0</v>
      </c>
      <c r="I630" s="459">
        <f t="shared" si="654"/>
        <v>0</v>
      </c>
      <c r="J630" s="459">
        <f t="shared" si="654"/>
        <v>0</v>
      </c>
      <c r="K630" s="479">
        <f t="shared" si="655"/>
        <v>0</v>
      </c>
      <c r="L630" s="459">
        <f t="shared" si="655"/>
        <v>0</v>
      </c>
      <c r="M630" s="459">
        <f t="shared" si="656"/>
        <v>0</v>
      </c>
      <c r="N630" s="459">
        <f t="shared" si="656"/>
        <v>0</v>
      </c>
      <c r="O630" s="459">
        <f t="shared" si="656"/>
        <v>0</v>
      </c>
      <c r="P630" s="479">
        <f t="shared" si="657"/>
        <v>0</v>
      </c>
      <c r="Q630" s="459">
        <f t="shared" si="657"/>
        <v>0</v>
      </c>
      <c r="R630" s="459">
        <f t="shared" si="658"/>
        <v>0</v>
      </c>
      <c r="S630" s="459">
        <f t="shared" si="658"/>
        <v>0</v>
      </c>
      <c r="T630" s="459">
        <f t="shared" si="658"/>
        <v>0</v>
      </c>
      <c r="U630" s="479">
        <f t="shared" si="659"/>
        <v>0</v>
      </c>
      <c r="V630" s="459">
        <f t="shared" si="659"/>
        <v>0</v>
      </c>
      <c r="W630" s="459">
        <f t="shared" si="660"/>
        <v>0</v>
      </c>
      <c r="X630" s="459">
        <f t="shared" si="660"/>
        <v>0</v>
      </c>
      <c r="Y630" s="459">
        <f t="shared" si="660"/>
        <v>0</v>
      </c>
      <c r="Z630" s="479">
        <f t="shared" si="661"/>
        <v>0</v>
      </c>
      <c r="AA630" s="459">
        <f t="shared" si="661"/>
        <v>0</v>
      </c>
      <c r="AB630" s="459">
        <f t="shared" si="662"/>
        <v>0</v>
      </c>
      <c r="AC630" s="459">
        <f t="shared" si="662"/>
        <v>0</v>
      </c>
      <c r="AD630" s="459">
        <f t="shared" si="662"/>
        <v>0</v>
      </c>
      <c r="AE630" s="479">
        <f t="shared" si="663"/>
        <v>0</v>
      </c>
      <c r="AF630" s="459">
        <f t="shared" si="663"/>
        <v>0</v>
      </c>
      <c r="AG630" s="459">
        <f t="shared" si="664"/>
        <v>0</v>
      </c>
      <c r="AH630" s="459">
        <f t="shared" si="664"/>
        <v>0</v>
      </c>
      <c r="AI630" s="459">
        <f t="shared" si="664"/>
        <v>0</v>
      </c>
      <c r="AJ630" s="479">
        <f t="shared" si="665"/>
        <v>0</v>
      </c>
      <c r="AK630" s="459">
        <f t="shared" si="665"/>
        <v>0</v>
      </c>
      <c r="AL630" s="459">
        <f t="shared" si="666"/>
        <v>0</v>
      </c>
      <c r="AM630" s="459">
        <f t="shared" si="666"/>
        <v>0</v>
      </c>
      <c r="AN630" s="459">
        <f t="shared" si="666"/>
        <v>0</v>
      </c>
      <c r="AO630" s="479">
        <f t="shared" si="667"/>
        <v>0</v>
      </c>
      <c r="AP630" s="459">
        <f t="shared" si="667"/>
        <v>0</v>
      </c>
      <c r="AQ630" s="262">
        <f t="shared" si="668"/>
        <v>0</v>
      </c>
      <c r="AR630" s="459">
        <f t="shared" si="668"/>
        <v>0</v>
      </c>
      <c r="AS630" s="459">
        <f t="shared" si="668"/>
        <v>0</v>
      </c>
      <c r="AT630" s="479">
        <f t="shared" si="669"/>
        <v>0</v>
      </c>
      <c r="AU630" s="262">
        <f t="shared" si="669"/>
        <v>0</v>
      </c>
      <c r="AV630" s="262">
        <f t="shared" si="670"/>
        <v>0</v>
      </c>
      <c r="AW630" s="723">
        <f t="shared" si="670"/>
        <v>0</v>
      </c>
      <c r="AX630" s="459">
        <f>AX438</f>
        <v>0</v>
      </c>
      <c r="AY630" s="479">
        <f t="shared" si="671"/>
        <v>0</v>
      </c>
      <c r="AZ630" s="459">
        <f t="shared" si="673"/>
        <v>0</v>
      </c>
      <c r="BA630" s="459">
        <f t="shared" si="673"/>
        <v>0</v>
      </c>
      <c r="BB630" s="459">
        <f t="shared" si="673"/>
        <v>0</v>
      </c>
      <c r="BC630" s="459">
        <f t="shared" si="673"/>
        <v>0</v>
      </c>
      <c r="BD630" s="479">
        <f t="shared" si="672"/>
        <v>0</v>
      </c>
      <c r="BE630" s="479">
        <f t="shared" si="674"/>
        <v>0</v>
      </c>
      <c r="BF630" s="479">
        <f t="shared" si="674"/>
        <v>0</v>
      </c>
      <c r="BG630" s="479">
        <f t="shared" si="674"/>
        <v>0</v>
      </c>
      <c r="BH630" s="361"/>
    </row>
    <row r="631" spans="1:60" s="116" customFormat="1" x14ac:dyDescent="0.25">
      <c r="A631" s="528" t="str">
        <f t="shared" si="652"/>
        <v>Net CFI</v>
      </c>
      <c r="B631" s="529"/>
      <c r="C631" s="45">
        <f t="shared" ref="C631:AH631" si="675">SUM(C619:C630)</f>
        <v>-14.244</v>
      </c>
      <c r="D631" s="45">
        <f t="shared" si="675"/>
        <v>-180.297</v>
      </c>
      <c r="E631" s="45">
        <f t="shared" si="675"/>
        <v>-162.25799999999998</v>
      </c>
      <c r="F631" s="45">
        <f t="shared" si="675"/>
        <v>-206.93</v>
      </c>
      <c r="G631" s="44">
        <f t="shared" si="675"/>
        <v>-55.235999999999997</v>
      </c>
      <c r="H631" s="44">
        <f t="shared" si="675"/>
        <v>-27.174000000000007</v>
      </c>
      <c r="I631" s="44">
        <f t="shared" si="675"/>
        <v>-77.501999999999981</v>
      </c>
      <c r="J631" s="44">
        <f t="shared" si="675"/>
        <v>-89.504999999999995</v>
      </c>
      <c r="K631" s="45">
        <f t="shared" si="675"/>
        <v>-249.41699999999997</v>
      </c>
      <c r="L631" s="44">
        <f t="shared" si="675"/>
        <v>-329.18</v>
      </c>
      <c r="M631" s="44">
        <f t="shared" si="675"/>
        <v>2.6100000000000136</v>
      </c>
      <c r="N631" s="44">
        <f t="shared" si="675"/>
        <v>-291.64300000000003</v>
      </c>
      <c r="O631" s="44">
        <f t="shared" si="675"/>
        <v>-372.23099999999999</v>
      </c>
      <c r="P631" s="45">
        <f t="shared" si="675"/>
        <v>-990.44400000000007</v>
      </c>
      <c r="Q631" s="44">
        <f t="shared" si="675"/>
        <v>-432.34399999999999</v>
      </c>
      <c r="R631" s="44">
        <f t="shared" si="675"/>
        <v>-422.83699999999999</v>
      </c>
      <c r="S631" s="44">
        <f t="shared" si="675"/>
        <v>-404.08999999999992</v>
      </c>
      <c r="T631" s="44">
        <f t="shared" si="675"/>
        <v>-414.28</v>
      </c>
      <c r="U631" s="45">
        <f t="shared" si="675"/>
        <v>-1673.5509999999999</v>
      </c>
      <c r="V631" s="44">
        <f t="shared" si="675"/>
        <v>-233.81900000000002</v>
      </c>
      <c r="W631" s="44">
        <f t="shared" si="675"/>
        <v>-319.85400000000004</v>
      </c>
      <c r="X631" s="44">
        <f t="shared" si="675"/>
        <v>-268.00600000000003</v>
      </c>
      <c r="Y631" s="44">
        <f t="shared" si="675"/>
        <v>-594.75099999999986</v>
      </c>
      <c r="Z631" s="45">
        <f t="shared" si="675"/>
        <v>-1416.43</v>
      </c>
      <c r="AA631" s="44">
        <f t="shared" si="675"/>
        <v>-926.9430000000001</v>
      </c>
      <c r="AB631" s="44">
        <f t="shared" si="675"/>
        <v>-1215.2160000000001</v>
      </c>
      <c r="AC631" s="44">
        <f t="shared" si="675"/>
        <v>-1314.9320000000002</v>
      </c>
      <c r="AD631" s="44">
        <f t="shared" si="675"/>
        <v>-961.87599999999952</v>
      </c>
      <c r="AE631" s="45">
        <f t="shared" si="675"/>
        <v>-4418.9669999999996</v>
      </c>
      <c r="AF631" s="44">
        <f t="shared" si="675"/>
        <v>-728.63700000000006</v>
      </c>
      <c r="AG631" s="44">
        <f t="shared" si="675"/>
        <v>-682.81699999999989</v>
      </c>
      <c r="AH631" s="44">
        <f t="shared" si="675"/>
        <v>-560.96500000000026</v>
      </c>
      <c r="AI631" s="44">
        <f t="shared" ref="AI631:AY631" si="676">SUM(AI619:AI630)</f>
        <v>-365.00900000000007</v>
      </c>
      <c r="AJ631" s="45">
        <f t="shared" si="676"/>
        <v>-2337.4279999999999</v>
      </c>
      <c r="AK631" s="44">
        <f t="shared" si="676"/>
        <v>-305.84300000000002</v>
      </c>
      <c r="AL631" s="44">
        <f t="shared" si="676"/>
        <v>-241.54500000000004</v>
      </c>
      <c r="AM631" s="44">
        <f t="shared" si="676"/>
        <v>-485.61199999999997</v>
      </c>
      <c r="AN631" s="44">
        <f t="shared" si="676"/>
        <v>-403</v>
      </c>
      <c r="AO631" s="45">
        <f t="shared" si="676"/>
        <v>-1436</v>
      </c>
      <c r="AP631" s="44">
        <f t="shared" si="676"/>
        <v>-480</v>
      </c>
      <c r="AQ631" s="30">
        <f t="shared" si="676"/>
        <v>-566</v>
      </c>
      <c r="AR631" s="44">
        <f t="shared" ref="AR631" si="677">SUM(AR619:AR630)</f>
        <v>-1039</v>
      </c>
      <c r="AS631" s="44">
        <f>SUM(AS619:AS630)</f>
        <v>-1047</v>
      </c>
      <c r="AT631" s="45">
        <f>SUM(AT619:AT630)</f>
        <v>-3132</v>
      </c>
      <c r="AU631" s="30">
        <f t="shared" ref="AU631:AW631" si="678">SUM(AU619:AU630)</f>
        <v>-2582</v>
      </c>
      <c r="AV631" s="30">
        <f t="shared" si="678"/>
        <v>-1515</v>
      </c>
      <c r="AW631" s="729">
        <f t="shared" si="678"/>
        <v>-1855</v>
      </c>
      <c r="AX631" s="44">
        <f t="shared" si="676"/>
        <v>-1200</v>
      </c>
      <c r="AY631" s="45">
        <f t="shared" si="676"/>
        <v>-7152</v>
      </c>
      <c r="AZ631" s="44">
        <f t="shared" ref="AZ631:BG631" si="679">SUM(AZ619:AZ630)</f>
        <v>-1500</v>
      </c>
      <c r="BA631" s="44">
        <f t="shared" si="679"/>
        <v>-1500</v>
      </c>
      <c r="BB631" s="44">
        <f t="shared" si="679"/>
        <v>-1500</v>
      </c>
      <c r="BC631" s="44">
        <f t="shared" si="679"/>
        <v>-1500</v>
      </c>
      <c r="BD631" s="45">
        <f t="shared" si="679"/>
        <v>-6000</v>
      </c>
      <c r="BE631" s="45">
        <f t="shared" si="679"/>
        <v>-6000</v>
      </c>
      <c r="BF631" s="45">
        <f t="shared" si="679"/>
        <v>-6000</v>
      </c>
      <c r="BG631" s="45">
        <f t="shared" si="679"/>
        <v>-6000</v>
      </c>
      <c r="BH631" s="368"/>
    </row>
    <row r="632" spans="1:60" s="116" customFormat="1" x14ac:dyDescent="0.25">
      <c r="A632" s="530"/>
      <c r="B632" s="531"/>
      <c r="C632" s="438"/>
      <c r="D632" s="438"/>
      <c r="E632" s="438"/>
      <c r="F632" s="438"/>
      <c r="G632" s="437"/>
      <c r="H632" s="437"/>
      <c r="I632" s="437"/>
      <c r="J632" s="437"/>
      <c r="K632" s="438"/>
      <c r="L632" s="437"/>
      <c r="M632" s="437"/>
      <c r="N632" s="437"/>
      <c r="O632" s="437"/>
      <c r="P632" s="438"/>
      <c r="Q632" s="437"/>
      <c r="R632" s="437"/>
      <c r="S632" s="437"/>
      <c r="T632" s="437"/>
      <c r="U632" s="438"/>
      <c r="V632" s="437"/>
      <c r="W632" s="437"/>
      <c r="X632" s="437"/>
      <c r="Y632" s="437"/>
      <c r="Z632" s="438"/>
      <c r="AA632" s="437"/>
      <c r="AB632" s="437"/>
      <c r="AC632" s="437"/>
      <c r="AD632" s="437"/>
      <c r="AE632" s="438"/>
      <c r="AF632" s="437"/>
      <c r="AG632" s="437"/>
      <c r="AH632" s="437"/>
      <c r="AI632" s="437"/>
      <c r="AJ632" s="438"/>
      <c r="AK632" s="437"/>
      <c r="AL632" s="437"/>
      <c r="AM632" s="437"/>
      <c r="AN632" s="437"/>
      <c r="AO632" s="438"/>
      <c r="AP632" s="437"/>
      <c r="AQ632" s="437"/>
      <c r="AR632" s="437"/>
      <c r="AS632" s="437"/>
      <c r="AT632" s="438"/>
      <c r="AU632" s="437"/>
      <c r="AV632" s="437"/>
      <c r="AW632" s="725"/>
      <c r="AX632" s="437"/>
      <c r="AY632" s="438"/>
      <c r="AZ632" s="437"/>
      <c r="BA632" s="437"/>
      <c r="BB632" s="437"/>
      <c r="BC632" s="437"/>
      <c r="BD632" s="438"/>
      <c r="BE632" s="438"/>
      <c r="BF632" s="438"/>
      <c r="BG632" s="438"/>
      <c r="BH632" s="368"/>
    </row>
    <row r="633" spans="1:60" s="116" customFormat="1" x14ac:dyDescent="0.25">
      <c r="A633" s="530" t="str">
        <f t="shared" ref="A633:A661" si="680">A543</f>
        <v>CFF</v>
      </c>
      <c r="B633" s="531"/>
      <c r="C633" s="438"/>
      <c r="D633" s="438"/>
      <c r="E633" s="438"/>
      <c r="F633" s="438"/>
      <c r="G633" s="437"/>
      <c r="H633" s="437"/>
      <c r="I633" s="437"/>
      <c r="J633" s="437"/>
      <c r="K633" s="438"/>
      <c r="L633" s="437"/>
      <c r="M633" s="437"/>
      <c r="N633" s="437"/>
      <c r="O633" s="437"/>
      <c r="P633" s="438"/>
      <c r="Q633" s="437"/>
      <c r="R633" s="437"/>
      <c r="S633" s="437"/>
      <c r="T633" s="437"/>
      <c r="U633" s="438"/>
      <c r="V633" s="437"/>
      <c r="W633" s="437"/>
      <c r="X633" s="437"/>
      <c r="Y633" s="437"/>
      <c r="Z633" s="438"/>
      <c r="AA633" s="437"/>
      <c r="AB633" s="437"/>
      <c r="AC633" s="437"/>
      <c r="AD633" s="437"/>
      <c r="AE633" s="438"/>
      <c r="AF633" s="437"/>
      <c r="AG633" s="437"/>
      <c r="AH633" s="437"/>
      <c r="AI633" s="437"/>
      <c r="AJ633" s="438"/>
      <c r="AK633" s="437"/>
      <c r="AL633" s="437"/>
      <c r="AM633" s="437"/>
      <c r="AN633" s="437"/>
      <c r="AO633" s="438"/>
      <c r="AP633" s="437"/>
      <c r="AQ633" s="437"/>
      <c r="AR633" s="437"/>
      <c r="AS633" s="437"/>
      <c r="AT633" s="438"/>
      <c r="AU633" s="437"/>
      <c r="AV633" s="437"/>
      <c r="AW633" s="725"/>
      <c r="AX633" s="437"/>
      <c r="AY633" s="438"/>
      <c r="AZ633" s="437"/>
      <c r="BA633" s="437"/>
      <c r="BB633" s="437"/>
      <c r="BC633" s="437"/>
      <c r="BD633" s="438"/>
      <c r="BE633" s="438"/>
      <c r="BF633" s="438"/>
      <c r="BG633" s="438"/>
      <c r="BH633" s="368"/>
    </row>
    <row r="634" spans="1:60" s="356" customFormat="1" x14ac:dyDescent="0.25">
      <c r="A634" s="526" t="str">
        <f t="shared" si="680"/>
        <v>Net cash flows from debt activities</v>
      </c>
      <c r="B634" s="439"/>
      <c r="C634" s="440">
        <f t="shared" ref="C634:G643" si="681">C544</f>
        <v>0</v>
      </c>
      <c r="D634" s="440">
        <f t="shared" si="681"/>
        <v>0</v>
      </c>
      <c r="E634" s="440">
        <f t="shared" si="681"/>
        <v>0</v>
      </c>
      <c r="F634" s="440">
        <f t="shared" si="681"/>
        <v>0</v>
      </c>
      <c r="G634" s="439">
        <f t="shared" si="681"/>
        <v>0</v>
      </c>
      <c r="H634" s="439">
        <f t="shared" ref="H634:J660" si="682">H544-G544</f>
        <v>0</v>
      </c>
      <c r="I634" s="439">
        <f t="shared" si="682"/>
        <v>0</v>
      </c>
      <c r="J634" s="439">
        <f t="shared" si="682"/>
        <v>0</v>
      </c>
      <c r="K634" s="440">
        <f t="shared" ref="K634:L660" si="683">K544</f>
        <v>0</v>
      </c>
      <c r="L634" s="439">
        <f t="shared" si="683"/>
        <v>0</v>
      </c>
      <c r="M634" s="439">
        <f t="shared" ref="M634:O660" si="684">M544-L544</f>
        <v>0</v>
      </c>
      <c r="N634" s="439">
        <f t="shared" si="684"/>
        <v>0</v>
      </c>
      <c r="O634" s="439">
        <f t="shared" si="684"/>
        <v>0</v>
      </c>
      <c r="P634" s="440">
        <f t="shared" ref="P634:Q660" si="685">P544</f>
        <v>0</v>
      </c>
      <c r="Q634" s="439">
        <f t="shared" si="685"/>
        <v>0</v>
      </c>
      <c r="R634" s="439">
        <f t="shared" ref="R634:T660" si="686">R544-Q544</f>
        <v>0</v>
      </c>
      <c r="S634" s="439">
        <f t="shared" si="686"/>
        <v>0</v>
      </c>
      <c r="T634" s="439">
        <f t="shared" si="686"/>
        <v>0</v>
      </c>
      <c r="U634" s="440">
        <f t="shared" ref="U634:V660" si="687">U544</f>
        <v>0</v>
      </c>
      <c r="V634" s="439">
        <f t="shared" si="687"/>
        <v>0</v>
      </c>
      <c r="W634" s="439">
        <f t="shared" ref="W634:Y660" si="688">W544-V544</f>
        <v>0</v>
      </c>
      <c r="X634" s="439">
        <f t="shared" si="688"/>
        <v>0</v>
      </c>
      <c r="Y634" s="439">
        <f t="shared" si="688"/>
        <v>0</v>
      </c>
      <c r="Z634" s="440">
        <f t="shared" ref="Z634:AA660" si="689">Z544</f>
        <v>0</v>
      </c>
      <c r="AA634" s="439">
        <f t="shared" si="689"/>
        <v>0</v>
      </c>
      <c r="AB634" s="439">
        <f t="shared" ref="AB634:AD660" si="690">AB544-AA544</f>
        <v>0</v>
      </c>
      <c r="AC634" s="439">
        <f t="shared" si="690"/>
        <v>0</v>
      </c>
      <c r="AD634" s="439">
        <f t="shared" si="690"/>
        <v>0</v>
      </c>
      <c r="AE634" s="440">
        <f t="shared" ref="AE634:AF660" si="691">AE544</f>
        <v>0</v>
      </c>
      <c r="AF634" s="439">
        <f t="shared" si="691"/>
        <v>0</v>
      </c>
      <c r="AG634" s="439">
        <f t="shared" ref="AG634:AI660" si="692">AG544-AF544</f>
        <v>0</v>
      </c>
      <c r="AH634" s="439">
        <f t="shared" si="692"/>
        <v>0</v>
      </c>
      <c r="AI634" s="439">
        <f t="shared" si="692"/>
        <v>0</v>
      </c>
      <c r="AJ634" s="440">
        <f t="shared" ref="AJ634:AK660" si="693">AJ544</f>
        <v>0</v>
      </c>
      <c r="AK634" s="439">
        <f t="shared" si="693"/>
        <v>0</v>
      </c>
      <c r="AL634" s="439">
        <f t="shared" ref="AL634:AN660" si="694">AL544-AK544</f>
        <v>0</v>
      </c>
      <c r="AM634" s="439">
        <f t="shared" si="694"/>
        <v>0</v>
      </c>
      <c r="AN634" s="439">
        <f t="shared" si="694"/>
        <v>0</v>
      </c>
      <c r="AO634" s="440">
        <f t="shared" ref="AO634:AP660" si="695">AO544</f>
        <v>0</v>
      </c>
      <c r="AP634" s="439">
        <f t="shared" si="695"/>
        <v>0</v>
      </c>
      <c r="AQ634" s="439">
        <f t="shared" ref="AQ634:AS660" si="696">AQ544-AP544</f>
        <v>0</v>
      </c>
      <c r="AR634" s="439">
        <f t="shared" si="696"/>
        <v>0</v>
      </c>
      <c r="AS634" s="439">
        <f t="shared" si="696"/>
        <v>0</v>
      </c>
      <c r="AT634" s="440">
        <f t="shared" ref="AT634:AU660" si="697">AT544</f>
        <v>0</v>
      </c>
      <c r="AU634" s="439">
        <f t="shared" si="697"/>
        <v>0</v>
      </c>
      <c r="AV634" s="439">
        <f t="shared" ref="AV634:AW660" si="698">AV544-AU544</f>
        <v>0</v>
      </c>
      <c r="AW634" s="726">
        <f t="shared" si="698"/>
        <v>0</v>
      </c>
      <c r="AX634" s="439"/>
      <c r="AY634" s="440">
        <f t="shared" ref="AY634:AY660" si="699">SUM(AU634,AV634,AW634,AX634)</f>
        <v>0</v>
      </c>
      <c r="AZ634" s="439"/>
      <c r="BA634" s="439"/>
      <c r="BB634" s="439"/>
      <c r="BC634" s="439"/>
      <c r="BD634" s="440">
        <f t="shared" ref="BD634:BD660" si="700">SUM(AZ634,BA634,BB634,BC634)</f>
        <v>0</v>
      </c>
      <c r="BE634" s="440"/>
      <c r="BF634" s="440"/>
      <c r="BG634" s="440"/>
      <c r="BH634" s="361"/>
    </row>
    <row r="635" spans="1:60" s="356" customFormat="1" x14ac:dyDescent="0.25">
      <c r="A635" s="526" t="str">
        <f t="shared" si="680"/>
        <v>Collateralized lease borrowing</v>
      </c>
      <c r="B635" s="439"/>
      <c r="C635" s="440">
        <f t="shared" si="681"/>
        <v>0</v>
      </c>
      <c r="D635" s="440">
        <f t="shared" si="681"/>
        <v>0</v>
      </c>
      <c r="E635" s="440">
        <f t="shared" si="681"/>
        <v>0</v>
      </c>
      <c r="F635" s="440">
        <f t="shared" si="681"/>
        <v>0</v>
      </c>
      <c r="G635" s="439">
        <f t="shared" si="681"/>
        <v>0</v>
      </c>
      <c r="H635" s="439">
        <f t="shared" si="682"/>
        <v>0</v>
      </c>
      <c r="I635" s="439">
        <f t="shared" si="682"/>
        <v>0</v>
      </c>
      <c r="J635" s="439">
        <f t="shared" si="682"/>
        <v>0</v>
      </c>
      <c r="K635" s="440">
        <f t="shared" si="683"/>
        <v>0</v>
      </c>
      <c r="L635" s="439">
        <f t="shared" si="683"/>
        <v>0</v>
      </c>
      <c r="M635" s="439">
        <f t="shared" si="684"/>
        <v>0</v>
      </c>
      <c r="N635" s="439">
        <f t="shared" si="684"/>
        <v>0</v>
      </c>
      <c r="O635" s="439">
        <f t="shared" si="684"/>
        <v>3.2709999999999999</v>
      </c>
      <c r="P635" s="440">
        <f t="shared" si="685"/>
        <v>3.2709999999999999</v>
      </c>
      <c r="Q635" s="439">
        <f t="shared" si="685"/>
        <v>77.960999999999999</v>
      </c>
      <c r="R635" s="439">
        <f t="shared" si="686"/>
        <v>118.574</v>
      </c>
      <c r="S635" s="439">
        <f t="shared" si="686"/>
        <v>163.41600000000003</v>
      </c>
      <c r="T635" s="439">
        <f t="shared" si="686"/>
        <v>208.79399999999998</v>
      </c>
      <c r="U635" s="440">
        <f t="shared" si="687"/>
        <v>568.745</v>
      </c>
      <c r="V635" s="439">
        <f t="shared" si="687"/>
        <v>241.76300000000001</v>
      </c>
      <c r="W635" s="439">
        <f t="shared" si="688"/>
        <v>142.76199999999997</v>
      </c>
      <c r="X635" s="439">
        <f t="shared" si="688"/>
        <v>173.14400000000001</v>
      </c>
      <c r="Y635" s="439">
        <f t="shared" si="688"/>
        <v>212.03999999999996</v>
      </c>
      <c r="Z635" s="440">
        <f t="shared" si="689"/>
        <v>769.70899999999995</v>
      </c>
      <c r="AA635" s="439">
        <f t="shared" si="689"/>
        <v>186.35499999999999</v>
      </c>
      <c r="AB635" s="439">
        <f t="shared" si="690"/>
        <v>149.32000000000002</v>
      </c>
      <c r="AC635" s="439">
        <f t="shared" si="690"/>
        <v>80.75200000000001</v>
      </c>
      <c r="AD635" s="439">
        <f t="shared" si="690"/>
        <v>94.894000000000005</v>
      </c>
      <c r="AE635" s="440">
        <f t="shared" si="691"/>
        <v>511.32100000000003</v>
      </c>
      <c r="AF635" s="439">
        <f t="shared" si="691"/>
        <v>-87.091999999999999</v>
      </c>
      <c r="AG635" s="439">
        <f t="shared" si="692"/>
        <v>-113.426</v>
      </c>
      <c r="AH635" s="439">
        <f t="shared" si="692"/>
        <v>-142.56800000000001</v>
      </c>
      <c r="AI635" s="439">
        <f t="shared" si="692"/>
        <v>-216.08100000000002</v>
      </c>
      <c r="AJ635" s="440">
        <f t="shared" si="693"/>
        <v>-559.16700000000003</v>
      </c>
      <c r="AK635" s="439">
        <f t="shared" si="693"/>
        <v>-133.89099999999999</v>
      </c>
      <c r="AL635" s="439">
        <f t="shared" si="694"/>
        <v>-85.432000000000016</v>
      </c>
      <c r="AM635" s="439">
        <f t="shared" si="694"/>
        <v>-82.676999999999992</v>
      </c>
      <c r="AN635" s="439">
        <f t="shared" si="694"/>
        <v>-87</v>
      </c>
      <c r="AO635" s="440">
        <f t="shared" si="695"/>
        <v>-389</v>
      </c>
      <c r="AP635" s="439">
        <f t="shared" si="695"/>
        <v>-97</v>
      </c>
      <c r="AQ635" s="439">
        <f t="shared" si="696"/>
        <v>-71</v>
      </c>
      <c r="AR635" s="439">
        <f t="shared" si="696"/>
        <v>-56</v>
      </c>
      <c r="AS635" s="439">
        <f t="shared" si="696"/>
        <v>-16</v>
      </c>
      <c r="AT635" s="440">
        <f t="shared" si="697"/>
        <v>-240</v>
      </c>
      <c r="AU635" s="439">
        <f t="shared" si="697"/>
        <v>-6</v>
      </c>
      <c r="AV635" s="439">
        <f t="shared" si="698"/>
        <v>-2</v>
      </c>
      <c r="AW635" s="726">
        <f t="shared" si="698"/>
        <v>-1</v>
      </c>
      <c r="AX635" s="439"/>
      <c r="AY635" s="440">
        <f t="shared" si="699"/>
        <v>-9</v>
      </c>
      <c r="AZ635" s="439"/>
      <c r="BA635" s="439"/>
      <c r="BB635" s="439"/>
      <c r="BC635" s="439"/>
      <c r="BD635" s="440">
        <f t="shared" si="700"/>
        <v>0</v>
      </c>
      <c r="BE635" s="440"/>
      <c r="BF635" s="440"/>
      <c r="BG635" s="440"/>
      <c r="BH635" s="361"/>
    </row>
    <row r="636" spans="1:60" s="356" customFormat="1" x14ac:dyDescent="0.25">
      <c r="A636" s="526" t="str">
        <f t="shared" si="680"/>
        <v>Net borrowings under vehicle and solar financing</v>
      </c>
      <c r="B636" s="439"/>
      <c r="C636" s="440">
        <f t="shared" si="681"/>
        <v>0</v>
      </c>
      <c r="D636" s="440">
        <f t="shared" si="681"/>
        <v>0</v>
      </c>
      <c r="E636" s="440">
        <f t="shared" si="681"/>
        <v>0</v>
      </c>
      <c r="F636" s="440">
        <f t="shared" si="681"/>
        <v>0</v>
      </c>
      <c r="G636" s="439">
        <f t="shared" si="681"/>
        <v>0</v>
      </c>
      <c r="H636" s="439">
        <f t="shared" si="682"/>
        <v>0</v>
      </c>
      <c r="I636" s="439">
        <f t="shared" si="682"/>
        <v>0</v>
      </c>
      <c r="J636" s="439">
        <f t="shared" si="682"/>
        <v>0</v>
      </c>
      <c r="K636" s="440">
        <f t="shared" si="683"/>
        <v>0</v>
      </c>
      <c r="L636" s="439">
        <f t="shared" si="683"/>
        <v>0</v>
      </c>
      <c r="M636" s="439">
        <f t="shared" si="684"/>
        <v>0</v>
      </c>
      <c r="N636" s="439">
        <f t="shared" si="684"/>
        <v>0</v>
      </c>
      <c r="O636" s="439">
        <f t="shared" si="684"/>
        <v>0</v>
      </c>
      <c r="P636" s="440">
        <f t="shared" si="685"/>
        <v>0</v>
      </c>
      <c r="Q636" s="439">
        <f t="shared" si="685"/>
        <v>0</v>
      </c>
      <c r="R636" s="439">
        <f t="shared" si="686"/>
        <v>0</v>
      </c>
      <c r="S636" s="439">
        <f t="shared" si="686"/>
        <v>0</v>
      </c>
      <c r="T636" s="439">
        <f t="shared" si="686"/>
        <v>0</v>
      </c>
      <c r="U636" s="440">
        <f t="shared" si="687"/>
        <v>0</v>
      </c>
      <c r="V636" s="439">
        <f t="shared" si="687"/>
        <v>0</v>
      </c>
      <c r="W636" s="439">
        <f t="shared" si="688"/>
        <v>0</v>
      </c>
      <c r="X636" s="439">
        <f t="shared" si="688"/>
        <v>0</v>
      </c>
      <c r="Y636" s="439">
        <f t="shared" si="688"/>
        <v>0</v>
      </c>
      <c r="Z636" s="440">
        <f t="shared" si="689"/>
        <v>0</v>
      </c>
      <c r="AA636" s="439">
        <f t="shared" si="689"/>
        <v>0</v>
      </c>
      <c r="AB636" s="439">
        <f t="shared" si="690"/>
        <v>0</v>
      </c>
      <c r="AC636" s="439">
        <f t="shared" si="690"/>
        <v>0</v>
      </c>
      <c r="AD636" s="439">
        <f t="shared" si="690"/>
        <v>0</v>
      </c>
      <c r="AE636" s="440">
        <f t="shared" si="691"/>
        <v>0</v>
      </c>
      <c r="AF636" s="439">
        <f t="shared" si="691"/>
        <v>0</v>
      </c>
      <c r="AG636" s="439">
        <f t="shared" si="692"/>
        <v>0</v>
      </c>
      <c r="AH636" s="439">
        <f t="shared" si="692"/>
        <v>0</v>
      </c>
      <c r="AI636" s="439">
        <f t="shared" si="692"/>
        <v>0</v>
      </c>
      <c r="AJ636" s="440">
        <f t="shared" si="693"/>
        <v>0</v>
      </c>
      <c r="AK636" s="439">
        <f t="shared" si="693"/>
        <v>0</v>
      </c>
      <c r="AL636" s="439">
        <f t="shared" si="694"/>
        <v>0</v>
      </c>
      <c r="AM636" s="439">
        <f t="shared" si="694"/>
        <v>0</v>
      </c>
      <c r="AN636" s="439">
        <f t="shared" si="694"/>
        <v>0</v>
      </c>
      <c r="AO636" s="440">
        <f t="shared" si="695"/>
        <v>0</v>
      </c>
      <c r="AP636" s="439">
        <f t="shared" si="695"/>
        <v>0</v>
      </c>
      <c r="AQ636" s="439">
        <f t="shared" si="696"/>
        <v>0</v>
      </c>
      <c r="AR636" s="439">
        <f t="shared" si="696"/>
        <v>0</v>
      </c>
      <c r="AS636" s="439">
        <f t="shared" si="696"/>
        <v>0</v>
      </c>
      <c r="AT636" s="440">
        <f t="shared" si="697"/>
        <v>0</v>
      </c>
      <c r="AU636" s="439">
        <f t="shared" si="697"/>
        <v>0</v>
      </c>
      <c r="AV636" s="439">
        <f t="shared" si="698"/>
        <v>0</v>
      </c>
      <c r="AW636" s="726">
        <f t="shared" si="698"/>
        <v>0</v>
      </c>
      <c r="AX636" s="439"/>
      <c r="AY636" s="440">
        <f t="shared" ref="AY636" si="701">SUM(AU636,AV636,AW636,AX636)</f>
        <v>0</v>
      </c>
      <c r="AZ636" s="439"/>
      <c r="BA636" s="439"/>
      <c r="BB636" s="439"/>
      <c r="BC636" s="439"/>
      <c r="BD636" s="440">
        <f t="shared" si="700"/>
        <v>0</v>
      </c>
      <c r="BE636" s="440"/>
      <c r="BF636" s="440"/>
      <c r="BG636" s="440"/>
      <c r="BH636" s="361"/>
    </row>
    <row r="637" spans="1:60" s="356" customFormat="1" x14ac:dyDescent="0.25">
      <c r="A637" s="526" t="str">
        <f t="shared" si="680"/>
        <v>Net borrowings under Warehouse Agreements and automotive asset-backed notes</v>
      </c>
      <c r="B637" s="439"/>
      <c r="C637" s="440">
        <f t="shared" si="681"/>
        <v>0</v>
      </c>
      <c r="D637" s="440">
        <f t="shared" si="681"/>
        <v>0</v>
      </c>
      <c r="E637" s="440">
        <f t="shared" si="681"/>
        <v>0</v>
      </c>
      <c r="F637" s="440">
        <f t="shared" si="681"/>
        <v>0</v>
      </c>
      <c r="G637" s="439">
        <f t="shared" si="681"/>
        <v>0</v>
      </c>
      <c r="H637" s="439">
        <f t="shared" si="682"/>
        <v>0</v>
      </c>
      <c r="I637" s="439">
        <f t="shared" si="682"/>
        <v>0</v>
      </c>
      <c r="J637" s="439">
        <f t="shared" si="682"/>
        <v>0</v>
      </c>
      <c r="K637" s="440">
        <f t="shared" si="683"/>
        <v>0</v>
      </c>
      <c r="L637" s="439">
        <f t="shared" si="683"/>
        <v>0</v>
      </c>
      <c r="M637" s="439">
        <f t="shared" si="684"/>
        <v>0</v>
      </c>
      <c r="N637" s="439">
        <f t="shared" si="684"/>
        <v>0</v>
      </c>
      <c r="O637" s="439">
        <f t="shared" si="684"/>
        <v>0</v>
      </c>
      <c r="P637" s="440">
        <f t="shared" si="685"/>
        <v>0</v>
      </c>
      <c r="Q637" s="439">
        <f t="shared" si="685"/>
        <v>0</v>
      </c>
      <c r="R637" s="439">
        <f t="shared" si="686"/>
        <v>0</v>
      </c>
      <c r="S637" s="439">
        <f t="shared" si="686"/>
        <v>0</v>
      </c>
      <c r="T637" s="439">
        <f t="shared" si="686"/>
        <v>0</v>
      </c>
      <c r="U637" s="440">
        <f t="shared" si="687"/>
        <v>0</v>
      </c>
      <c r="V637" s="439">
        <f t="shared" si="687"/>
        <v>0</v>
      </c>
      <c r="W637" s="439">
        <f t="shared" si="688"/>
        <v>0</v>
      </c>
      <c r="X637" s="439">
        <f t="shared" si="688"/>
        <v>0</v>
      </c>
      <c r="Y637" s="439">
        <f t="shared" si="688"/>
        <v>0</v>
      </c>
      <c r="Z637" s="440">
        <f t="shared" si="689"/>
        <v>0</v>
      </c>
      <c r="AA637" s="439">
        <f t="shared" si="689"/>
        <v>0</v>
      </c>
      <c r="AB637" s="439">
        <f t="shared" si="690"/>
        <v>0</v>
      </c>
      <c r="AC637" s="439">
        <f t="shared" si="690"/>
        <v>0</v>
      </c>
      <c r="AD637" s="439">
        <f t="shared" si="690"/>
        <v>0</v>
      </c>
      <c r="AE637" s="440">
        <f t="shared" si="691"/>
        <v>0</v>
      </c>
      <c r="AF637" s="439">
        <f t="shared" si="691"/>
        <v>0</v>
      </c>
      <c r="AG637" s="439">
        <f t="shared" si="692"/>
        <v>0</v>
      </c>
      <c r="AH637" s="439">
        <f t="shared" si="692"/>
        <v>0</v>
      </c>
      <c r="AI637" s="439">
        <f t="shared" si="692"/>
        <v>0</v>
      </c>
      <c r="AJ637" s="440">
        <f t="shared" si="693"/>
        <v>0</v>
      </c>
      <c r="AK637" s="439">
        <f t="shared" si="693"/>
        <v>0</v>
      </c>
      <c r="AL637" s="439">
        <f t="shared" si="694"/>
        <v>0</v>
      </c>
      <c r="AM637" s="439">
        <f t="shared" si="694"/>
        <v>0</v>
      </c>
      <c r="AN637" s="439">
        <f t="shared" si="694"/>
        <v>0</v>
      </c>
      <c r="AO637" s="440">
        <f t="shared" si="695"/>
        <v>0</v>
      </c>
      <c r="AP637" s="439">
        <f t="shared" si="695"/>
        <v>0</v>
      </c>
      <c r="AQ637" s="439">
        <f t="shared" si="696"/>
        <v>0</v>
      </c>
      <c r="AR637" s="439">
        <f t="shared" si="696"/>
        <v>0</v>
      </c>
      <c r="AS637" s="439">
        <f t="shared" si="696"/>
        <v>0</v>
      </c>
      <c r="AT637" s="440">
        <f t="shared" si="697"/>
        <v>0</v>
      </c>
      <c r="AU637" s="439">
        <f t="shared" si="697"/>
        <v>0</v>
      </c>
      <c r="AV637" s="439">
        <f t="shared" si="698"/>
        <v>0</v>
      </c>
      <c r="AW637" s="726">
        <f t="shared" si="698"/>
        <v>0</v>
      </c>
      <c r="AX637" s="439"/>
      <c r="AY637" s="440">
        <f t="shared" si="699"/>
        <v>0</v>
      </c>
      <c r="AZ637" s="439"/>
      <c r="BA637" s="439"/>
      <c r="BB637" s="439"/>
      <c r="BC637" s="439"/>
      <c r="BD637" s="440">
        <f t="shared" si="700"/>
        <v>0</v>
      </c>
      <c r="BE637" s="440"/>
      <c r="BF637" s="440"/>
      <c r="BG637" s="440"/>
      <c r="BH637" s="361"/>
    </row>
    <row r="638" spans="1:60" s="356" customFormat="1" x14ac:dyDescent="0.25">
      <c r="A638" s="526" t="str">
        <f t="shared" si="680"/>
        <v>Net cash flows from noncontrolling interests</v>
      </c>
      <c r="B638" s="439"/>
      <c r="C638" s="440">
        <f t="shared" si="681"/>
        <v>0</v>
      </c>
      <c r="D638" s="440">
        <f t="shared" si="681"/>
        <v>0</v>
      </c>
      <c r="E638" s="440">
        <f t="shared" si="681"/>
        <v>0</v>
      </c>
      <c r="F638" s="440">
        <f t="shared" si="681"/>
        <v>0</v>
      </c>
      <c r="G638" s="439">
        <f t="shared" si="681"/>
        <v>0</v>
      </c>
      <c r="H638" s="439">
        <f t="shared" si="682"/>
        <v>0</v>
      </c>
      <c r="I638" s="439">
        <f t="shared" si="682"/>
        <v>0</v>
      </c>
      <c r="J638" s="439">
        <f t="shared" si="682"/>
        <v>0</v>
      </c>
      <c r="K638" s="440">
        <f t="shared" si="683"/>
        <v>0</v>
      </c>
      <c r="L638" s="439">
        <f t="shared" si="683"/>
        <v>0</v>
      </c>
      <c r="M638" s="439">
        <f t="shared" si="684"/>
        <v>0</v>
      </c>
      <c r="N638" s="439">
        <f t="shared" si="684"/>
        <v>0</v>
      </c>
      <c r="O638" s="439">
        <f t="shared" si="684"/>
        <v>0</v>
      </c>
      <c r="P638" s="440">
        <f t="shared" si="685"/>
        <v>0</v>
      </c>
      <c r="Q638" s="439">
        <f t="shared" si="685"/>
        <v>0</v>
      </c>
      <c r="R638" s="439">
        <f t="shared" si="686"/>
        <v>0</v>
      </c>
      <c r="S638" s="439">
        <f t="shared" si="686"/>
        <v>0</v>
      </c>
      <c r="T638" s="439">
        <f t="shared" si="686"/>
        <v>0</v>
      </c>
      <c r="U638" s="440">
        <f t="shared" si="687"/>
        <v>0</v>
      </c>
      <c r="V638" s="439">
        <f t="shared" si="687"/>
        <v>0</v>
      </c>
      <c r="W638" s="439">
        <f t="shared" si="688"/>
        <v>0</v>
      </c>
      <c r="X638" s="439">
        <f t="shared" si="688"/>
        <v>0</v>
      </c>
      <c r="Y638" s="439">
        <f t="shared" si="688"/>
        <v>180.27699999999999</v>
      </c>
      <c r="Z638" s="440">
        <f t="shared" si="689"/>
        <v>180.27699999999999</v>
      </c>
      <c r="AA638" s="439">
        <f t="shared" si="689"/>
        <v>142.00299999999999</v>
      </c>
      <c r="AB638" s="439">
        <f t="shared" si="690"/>
        <v>-142.00299999999999</v>
      </c>
      <c r="AC638" s="439">
        <f t="shared" si="690"/>
        <v>0</v>
      </c>
      <c r="AD638" s="439">
        <f t="shared" si="690"/>
        <v>789.70399999999995</v>
      </c>
      <c r="AE638" s="440">
        <f t="shared" si="691"/>
        <v>789.70399999999995</v>
      </c>
      <c r="AF638" s="439">
        <f t="shared" si="691"/>
        <v>73.703999999999994</v>
      </c>
      <c r="AG638" s="439">
        <f t="shared" si="692"/>
        <v>-73.703999999999994</v>
      </c>
      <c r="AH638" s="439">
        <f t="shared" si="692"/>
        <v>0</v>
      </c>
      <c r="AI638" s="439">
        <f t="shared" si="692"/>
        <v>0</v>
      </c>
      <c r="AJ638" s="440">
        <f t="shared" si="693"/>
        <v>0</v>
      </c>
      <c r="AK638" s="439">
        <f t="shared" si="693"/>
        <v>46.820999999999998</v>
      </c>
      <c r="AL638" s="439">
        <f t="shared" si="694"/>
        <v>-46.820999999999998</v>
      </c>
      <c r="AM638" s="439">
        <f t="shared" si="694"/>
        <v>0</v>
      </c>
      <c r="AN638" s="439">
        <f t="shared" si="694"/>
        <v>0</v>
      </c>
      <c r="AO638" s="440">
        <f t="shared" si="695"/>
        <v>0</v>
      </c>
      <c r="AP638" s="439">
        <f t="shared" si="695"/>
        <v>0</v>
      </c>
      <c r="AQ638" s="439">
        <f t="shared" si="696"/>
        <v>0</v>
      </c>
      <c r="AR638" s="439">
        <f t="shared" si="696"/>
        <v>0</v>
      </c>
      <c r="AS638" s="439">
        <f t="shared" si="696"/>
        <v>0</v>
      </c>
      <c r="AT638" s="440">
        <f t="shared" si="697"/>
        <v>0</v>
      </c>
      <c r="AU638" s="439">
        <f t="shared" si="697"/>
        <v>0</v>
      </c>
      <c r="AV638" s="439">
        <f t="shared" si="698"/>
        <v>0</v>
      </c>
      <c r="AW638" s="726">
        <f t="shared" si="698"/>
        <v>0</v>
      </c>
      <c r="AX638" s="439"/>
      <c r="AY638" s="440">
        <f t="shared" si="699"/>
        <v>0</v>
      </c>
      <c r="AZ638" s="439"/>
      <c r="BA638" s="439"/>
      <c r="BB638" s="439"/>
      <c r="BC638" s="439"/>
      <c r="BD638" s="440">
        <f t="shared" si="700"/>
        <v>0</v>
      </c>
      <c r="BE638" s="440"/>
      <c r="BF638" s="440"/>
      <c r="BG638" s="440"/>
      <c r="BH638" s="361"/>
    </row>
    <row r="639" spans="1:60" s="356" customFormat="1" x14ac:dyDescent="0.25">
      <c r="A639" s="526" t="str">
        <f t="shared" si="680"/>
        <v>Proceeds from DOE loans</v>
      </c>
      <c r="B639" s="439"/>
      <c r="C639" s="440">
        <f t="shared" si="681"/>
        <v>0</v>
      </c>
      <c r="D639" s="440">
        <f t="shared" si="681"/>
        <v>71.828000000000003</v>
      </c>
      <c r="E639" s="440">
        <f t="shared" si="681"/>
        <v>204.423</v>
      </c>
      <c r="F639" s="440">
        <f t="shared" si="681"/>
        <v>188.79599999999999</v>
      </c>
      <c r="G639" s="439">
        <f t="shared" si="681"/>
        <v>0</v>
      </c>
      <c r="H639" s="439">
        <f t="shared" si="682"/>
        <v>0</v>
      </c>
      <c r="I639" s="439">
        <f t="shared" si="682"/>
        <v>0</v>
      </c>
      <c r="J639" s="439">
        <f t="shared" si="682"/>
        <v>0</v>
      </c>
      <c r="K639" s="440">
        <f t="shared" si="683"/>
        <v>0</v>
      </c>
      <c r="L639" s="439">
        <f t="shared" si="683"/>
        <v>0</v>
      </c>
      <c r="M639" s="439">
        <f t="shared" si="684"/>
        <v>0</v>
      </c>
      <c r="N639" s="439">
        <f t="shared" si="684"/>
        <v>0</v>
      </c>
      <c r="O639" s="439">
        <f t="shared" si="684"/>
        <v>0</v>
      </c>
      <c r="P639" s="440">
        <f t="shared" si="685"/>
        <v>0</v>
      </c>
      <c r="Q639" s="439">
        <f t="shared" si="685"/>
        <v>0</v>
      </c>
      <c r="R639" s="439">
        <f t="shared" si="686"/>
        <v>0</v>
      </c>
      <c r="S639" s="439">
        <f t="shared" si="686"/>
        <v>0</v>
      </c>
      <c r="T639" s="439">
        <f t="shared" si="686"/>
        <v>0</v>
      </c>
      <c r="U639" s="440">
        <f t="shared" si="687"/>
        <v>0</v>
      </c>
      <c r="V639" s="439">
        <f t="shared" si="687"/>
        <v>0</v>
      </c>
      <c r="W639" s="439">
        <f t="shared" si="688"/>
        <v>0</v>
      </c>
      <c r="X639" s="439">
        <f t="shared" si="688"/>
        <v>0</v>
      </c>
      <c r="Y639" s="439">
        <f t="shared" si="688"/>
        <v>0</v>
      </c>
      <c r="Z639" s="440">
        <f t="shared" si="689"/>
        <v>0</v>
      </c>
      <c r="AA639" s="439">
        <f t="shared" si="689"/>
        <v>0</v>
      </c>
      <c r="AB639" s="439">
        <f t="shared" si="690"/>
        <v>0</v>
      </c>
      <c r="AC639" s="439">
        <f t="shared" si="690"/>
        <v>0</v>
      </c>
      <c r="AD639" s="439">
        <f t="shared" si="690"/>
        <v>0</v>
      </c>
      <c r="AE639" s="440">
        <f t="shared" si="691"/>
        <v>0</v>
      </c>
      <c r="AF639" s="439">
        <f t="shared" si="691"/>
        <v>0</v>
      </c>
      <c r="AG639" s="439">
        <f t="shared" si="692"/>
        <v>0</v>
      </c>
      <c r="AH639" s="439">
        <f t="shared" si="692"/>
        <v>0</v>
      </c>
      <c r="AI639" s="439">
        <f t="shared" si="692"/>
        <v>0</v>
      </c>
      <c r="AJ639" s="440">
        <f t="shared" si="693"/>
        <v>0</v>
      </c>
      <c r="AK639" s="439">
        <f t="shared" si="693"/>
        <v>0</v>
      </c>
      <c r="AL639" s="439">
        <f t="shared" si="694"/>
        <v>0</v>
      </c>
      <c r="AM639" s="439">
        <f t="shared" si="694"/>
        <v>0</v>
      </c>
      <c r="AN639" s="439">
        <f t="shared" si="694"/>
        <v>0</v>
      </c>
      <c r="AO639" s="440">
        <f t="shared" si="695"/>
        <v>0</v>
      </c>
      <c r="AP639" s="439">
        <f t="shared" si="695"/>
        <v>0</v>
      </c>
      <c r="AQ639" s="439">
        <f t="shared" si="696"/>
        <v>0</v>
      </c>
      <c r="AR639" s="439">
        <f t="shared" si="696"/>
        <v>0</v>
      </c>
      <c r="AS639" s="439">
        <f t="shared" si="696"/>
        <v>0</v>
      </c>
      <c r="AT639" s="440">
        <f t="shared" si="697"/>
        <v>0</v>
      </c>
      <c r="AU639" s="439">
        <f t="shared" si="697"/>
        <v>0</v>
      </c>
      <c r="AV639" s="439">
        <f t="shared" si="698"/>
        <v>0</v>
      </c>
      <c r="AW639" s="726">
        <f t="shared" si="698"/>
        <v>0</v>
      </c>
      <c r="AX639" s="439"/>
      <c r="AY639" s="440">
        <f t="shared" si="699"/>
        <v>0</v>
      </c>
      <c r="AZ639" s="439"/>
      <c r="BA639" s="439"/>
      <c r="BB639" s="439"/>
      <c r="BC639" s="439"/>
      <c r="BD639" s="440">
        <f t="shared" si="700"/>
        <v>0</v>
      </c>
      <c r="BE639" s="440"/>
      <c r="BF639" s="440"/>
      <c r="BG639" s="440"/>
      <c r="BH639" s="361"/>
    </row>
    <row r="640" spans="1:60" s="356" customFormat="1" x14ac:dyDescent="0.25">
      <c r="A640" s="526" t="str">
        <f t="shared" si="680"/>
        <v>Proceeds from issuance of convertible and other debt, net</v>
      </c>
      <c r="B640" s="439"/>
      <c r="C640" s="440">
        <f t="shared" si="681"/>
        <v>25.468</v>
      </c>
      <c r="D640" s="440">
        <f t="shared" si="681"/>
        <v>0</v>
      </c>
      <c r="E640" s="440">
        <f t="shared" si="681"/>
        <v>0</v>
      </c>
      <c r="F640" s="440">
        <f t="shared" si="681"/>
        <v>0</v>
      </c>
      <c r="G640" s="439">
        <f t="shared" si="681"/>
        <v>0</v>
      </c>
      <c r="H640" s="439">
        <f t="shared" si="682"/>
        <v>660</v>
      </c>
      <c r="I640" s="439">
        <f t="shared" si="682"/>
        <v>0</v>
      </c>
      <c r="J640" s="439">
        <f t="shared" si="682"/>
        <v>0</v>
      </c>
      <c r="K640" s="440">
        <f t="shared" si="683"/>
        <v>660</v>
      </c>
      <c r="L640" s="439">
        <f t="shared" si="683"/>
        <v>2000</v>
      </c>
      <c r="M640" s="439">
        <f t="shared" si="684"/>
        <v>300</v>
      </c>
      <c r="N640" s="439">
        <f t="shared" si="684"/>
        <v>0</v>
      </c>
      <c r="O640" s="439">
        <f t="shared" si="684"/>
        <v>0</v>
      </c>
      <c r="P640" s="440">
        <f t="shared" si="685"/>
        <v>2300</v>
      </c>
      <c r="Q640" s="439">
        <f t="shared" si="685"/>
        <v>77.661000000000001</v>
      </c>
      <c r="R640" s="439">
        <f t="shared" si="686"/>
        <v>90.585000000000008</v>
      </c>
      <c r="S640" s="439">
        <f t="shared" si="686"/>
        <v>15.725999999999999</v>
      </c>
      <c r="T640" s="439">
        <f t="shared" si="686"/>
        <v>134.99999999999997</v>
      </c>
      <c r="U640" s="440">
        <f t="shared" si="687"/>
        <v>318.97199999999998</v>
      </c>
      <c r="V640" s="439">
        <f t="shared" si="687"/>
        <v>430</v>
      </c>
      <c r="W640" s="439">
        <f t="shared" si="688"/>
        <v>99.317000000000007</v>
      </c>
      <c r="X640" s="439">
        <f t="shared" si="688"/>
        <v>-522.51299999999992</v>
      </c>
      <c r="Y640" s="439">
        <f t="shared" si="688"/>
        <v>2846.16</v>
      </c>
      <c r="Z640" s="440">
        <f t="shared" si="689"/>
        <v>2852.9639999999999</v>
      </c>
      <c r="AA640" s="439">
        <f t="shared" si="689"/>
        <v>1838.1659999999999</v>
      </c>
      <c r="AB640" s="439">
        <f t="shared" si="690"/>
        <v>570.41999999999985</v>
      </c>
      <c r="AC640" s="439">
        <f t="shared" si="690"/>
        <v>2992.5720000000006</v>
      </c>
      <c r="AD640" s="439">
        <f t="shared" si="690"/>
        <v>1736.8969999999999</v>
      </c>
      <c r="AE640" s="440">
        <f t="shared" si="691"/>
        <v>7138.0550000000003</v>
      </c>
      <c r="AF640" s="439">
        <f t="shared" si="691"/>
        <v>0</v>
      </c>
      <c r="AG640" s="439">
        <f t="shared" si="692"/>
        <v>3043.2269999999999</v>
      </c>
      <c r="AH640" s="439">
        <f t="shared" si="692"/>
        <v>903.34799999999996</v>
      </c>
      <c r="AI640" s="439">
        <f t="shared" si="692"/>
        <v>2229.598</v>
      </c>
      <c r="AJ640" s="440">
        <f t="shared" si="693"/>
        <v>6176.1729999999998</v>
      </c>
      <c r="AK640" s="439">
        <f t="shared" si="693"/>
        <v>1494.066</v>
      </c>
      <c r="AL640" s="439">
        <f t="shared" si="694"/>
        <v>3513.415</v>
      </c>
      <c r="AM640" s="439">
        <f t="shared" si="694"/>
        <v>2111.5190000000002</v>
      </c>
      <c r="AN640" s="439">
        <f t="shared" si="694"/>
        <v>3550</v>
      </c>
      <c r="AO640" s="440">
        <f t="shared" si="695"/>
        <v>10669</v>
      </c>
      <c r="AP640" s="439">
        <f t="shared" si="695"/>
        <v>2802</v>
      </c>
      <c r="AQ640" s="361">
        <f t="shared" si="696"/>
        <v>2144</v>
      </c>
      <c r="AR640" s="439">
        <f t="shared" si="696"/>
        <v>2880</v>
      </c>
      <c r="AS640" s="439">
        <f t="shared" si="696"/>
        <v>1887</v>
      </c>
      <c r="AT640" s="440">
        <f t="shared" si="697"/>
        <v>9713</v>
      </c>
      <c r="AU640" s="361">
        <f t="shared" si="697"/>
        <v>2983</v>
      </c>
      <c r="AV640" s="361">
        <f t="shared" si="698"/>
        <v>1879</v>
      </c>
      <c r="AW640" s="726">
        <f t="shared" si="698"/>
        <v>2771</v>
      </c>
      <c r="AX640" s="439">
        <f>AX442</f>
        <v>0</v>
      </c>
      <c r="AY640" s="440">
        <f t="shared" si="699"/>
        <v>7633</v>
      </c>
      <c r="AZ640" s="439">
        <f>AZ442</f>
        <v>0</v>
      </c>
      <c r="BA640" s="439">
        <f>BA442</f>
        <v>0</v>
      </c>
      <c r="BB640" s="439">
        <f>BB442</f>
        <v>0</v>
      </c>
      <c r="BC640" s="439">
        <f>BC442</f>
        <v>0</v>
      </c>
      <c r="BD640" s="440">
        <f t="shared" si="700"/>
        <v>0</v>
      </c>
      <c r="BE640" s="440">
        <f>BE442</f>
        <v>0</v>
      </c>
      <c r="BF640" s="440">
        <f>BF442</f>
        <v>0</v>
      </c>
      <c r="BG640" s="440">
        <f>BG442</f>
        <v>0</v>
      </c>
      <c r="BH640" s="361"/>
    </row>
    <row r="641" spans="1:60" s="356" customFormat="1" x14ac:dyDescent="0.25">
      <c r="A641" s="526" t="str">
        <f t="shared" si="680"/>
        <v>Proceeds from issuance of convertible preferred stock</v>
      </c>
      <c r="B641" s="439"/>
      <c r="C641" s="440">
        <f t="shared" si="681"/>
        <v>131.822</v>
      </c>
      <c r="D641" s="440">
        <f t="shared" si="681"/>
        <v>0</v>
      </c>
      <c r="E641" s="440">
        <f t="shared" si="681"/>
        <v>0</v>
      </c>
      <c r="F641" s="440">
        <f t="shared" si="681"/>
        <v>0</v>
      </c>
      <c r="G641" s="439">
        <f t="shared" si="681"/>
        <v>0</v>
      </c>
      <c r="H641" s="439">
        <f t="shared" si="682"/>
        <v>0</v>
      </c>
      <c r="I641" s="439">
        <f t="shared" si="682"/>
        <v>0</v>
      </c>
      <c r="J641" s="439">
        <f t="shared" si="682"/>
        <v>0</v>
      </c>
      <c r="K641" s="440">
        <f t="shared" si="683"/>
        <v>0</v>
      </c>
      <c r="L641" s="439">
        <f t="shared" si="683"/>
        <v>0</v>
      </c>
      <c r="M641" s="439">
        <f t="shared" si="684"/>
        <v>0</v>
      </c>
      <c r="N641" s="439">
        <f t="shared" si="684"/>
        <v>0</v>
      </c>
      <c r="O641" s="439">
        <f t="shared" si="684"/>
        <v>0</v>
      </c>
      <c r="P641" s="440">
        <f t="shared" si="685"/>
        <v>0</v>
      </c>
      <c r="Q641" s="439">
        <f t="shared" si="685"/>
        <v>0</v>
      </c>
      <c r="R641" s="439">
        <f t="shared" si="686"/>
        <v>0</v>
      </c>
      <c r="S641" s="439">
        <f t="shared" si="686"/>
        <v>0</v>
      </c>
      <c r="T641" s="439">
        <f t="shared" si="686"/>
        <v>0</v>
      </c>
      <c r="U641" s="440">
        <f t="shared" si="687"/>
        <v>0</v>
      </c>
      <c r="V641" s="439">
        <f t="shared" si="687"/>
        <v>0</v>
      </c>
      <c r="W641" s="439">
        <f t="shared" si="688"/>
        <v>0</v>
      </c>
      <c r="X641" s="439">
        <f t="shared" si="688"/>
        <v>0</v>
      </c>
      <c r="Y641" s="439">
        <f t="shared" si="688"/>
        <v>0</v>
      </c>
      <c r="Z641" s="440">
        <f t="shared" si="689"/>
        <v>0</v>
      </c>
      <c r="AA641" s="439">
        <f t="shared" si="689"/>
        <v>-690.94500000000005</v>
      </c>
      <c r="AB641" s="439">
        <f t="shared" si="690"/>
        <v>690.94500000000005</v>
      </c>
      <c r="AC641" s="439">
        <f t="shared" si="690"/>
        <v>0</v>
      </c>
      <c r="AD641" s="439">
        <f t="shared" si="690"/>
        <v>0</v>
      </c>
      <c r="AE641" s="440">
        <f t="shared" si="691"/>
        <v>0</v>
      </c>
      <c r="AF641" s="439">
        <f t="shared" si="691"/>
        <v>0</v>
      </c>
      <c r="AG641" s="439">
        <f t="shared" si="692"/>
        <v>0</v>
      </c>
      <c r="AH641" s="439">
        <f t="shared" si="692"/>
        <v>0</v>
      </c>
      <c r="AI641" s="439">
        <f t="shared" si="692"/>
        <v>0</v>
      </c>
      <c r="AJ641" s="440">
        <f t="shared" si="693"/>
        <v>0</v>
      </c>
      <c r="AK641" s="439">
        <f t="shared" si="693"/>
        <v>0</v>
      </c>
      <c r="AL641" s="439">
        <f t="shared" si="694"/>
        <v>0</v>
      </c>
      <c r="AM641" s="439">
        <f t="shared" si="694"/>
        <v>0</v>
      </c>
      <c r="AN641" s="439">
        <f t="shared" si="694"/>
        <v>0</v>
      </c>
      <c r="AO641" s="440">
        <f t="shared" si="695"/>
        <v>0</v>
      </c>
      <c r="AP641" s="439">
        <f t="shared" si="695"/>
        <v>0</v>
      </c>
      <c r="AQ641" s="439">
        <f t="shared" si="696"/>
        <v>0</v>
      </c>
      <c r="AR641" s="439">
        <f t="shared" si="696"/>
        <v>0</v>
      </c>
      <c r="AS641" s="439">
        <f t="shared" si="696"/>
        <v>0</v>
      </c>
      <c r="AT641" s="440">
        <f t="shared" si="697"/>
        <v>0</v>
      </c>
      <c r="AU641" s="439">
        <f t="shared" si="697"/>
        <v>0</v>
      </c>
      <c r="AV641" s="439">
        <f t="shared" si="698"/>
        <v>0</v>
      </c>
      <c r="AW641" s="726">
        <f t="shared" si="698"/>
        <v>0</v>
      </c>
      <c r="AX641" s="439"/>
      <c r="AY641" s="440">
        <f t="shared" si="699"/>
        <v>0</v>
      </c>
      <c r="AZ641" s="439"/>
      <c r="BA641" s="439"/>
      <c r="BB641" s="439"/>
      <c r="BC641" s="439"/>
      <c r="BD641" s="440">
        <f t="shared" si="700"/>
        <v>0</v>
      </c>
      <c r="BE641" s="440"/>
      <c r="BF641" s="440"/>
      <c r="BG641" s="440"/>
      <c r="BH641" s="361"/>
    </row>
    <row r="642" spans="1:60" s="356" customFormat="1" x14ac:dyDescent="0.25">
      <c r="A642" s="526" t="str">
        <f t="shared" si="680"/>
        <v>Proceeds from issuance of common stock in public offering</v>
      </c>
      <c r="B642" s="439"/>
      <c r="C642" s="440">
        <f t="shared" si="681"/>
        <v>0</v>
      </c>
      <c r="D642" s="440">
        <f t="shared" si="681"/>
        <v>188.84200000000001</v>
      </c>
      <c r="E642" s="440">
        <f t="shared" si="681"/>
        <v>172.41</v>
      </c>
      <c r="F642" s="440">
        <f t="shared" si="681"/>
        <v>221.49600000000001</v>
      </c>
      <c r="G642" s="439">
        <f t="shared" si="681"/>
        <v>0</v>
      </c>
      <c r="H642" s="439">
        <f t="shared" si="682"/>
        <v>360</v>
      </c>
      <c r="I642" s="439">
        <f t="shared" si="682"/>
        <v>0</v>
      </c>
      <c r="J642" s="439">
        <f t="shared" si="682"/>
        <v>0</v>
      </c>
      <c r="K642" s="440">
        <f t="shared" si="683"/>
        <v>360</v>
      </c>
      <c r="L642" s="439">
        <f t="shared" si="683"/>
        <v>0</v>
      </c>
      <c r="M642" s="439">
        <f t="shared" si="684"/>
        <v>0</v>
      </c>
      <c r="N642" s="439">
        <f t="shared" si="684"/>
        <v>0</v>
      </c>
      <c r="O642" s="439">
        <f t="shared" si="684"/>
        <v>0</v>
      </c>
      <c r="P642" s="440">
        <f t="shared" si="685"/>
        <v>0</v>
      </c>
      <c r="Q642" s="439">
        <f t="shared" si="685"/>
        <v>0</v>
      </c>
      <c r="R642" s="439">
        <f t="shared" si="686"/>
        <v>0</v>
      </c>
      <c r="S642" s="439">
        <f t="shared" si="686"/>
        <v>750</v>
      </c>
      <c r="T642" s="439">
        <f t="shared" si="686"/>
        <v>-20</v>
      </c>
      <c r="U642" s="440">
        <f t="shared" si="687"/>
        <v>730</v>
      </c>
      <c r="V642" s="439">
        <f t="shared" si="687"/>
        <v>0</v>
      </c>
      <c r="W642" s="439">
        <f t="shared" si="688"/>
        <v>1701.7339999999999</v>
      </c>
      <c r="X642" s="439">
        <f t="shared" si="688"/>
        <v>0</v>
      </c>
      <c r="Y642" s="439">
        <f t="shared" si="688"/>
        <v>0</v>
      </c>
      <c r="Z642" s="440">
        <f t="shared" si="689"/>
        <v>1701.7339999999999</v>
      </c>
      <c r="AA642" s="439">
        <f t="shared" si="689"/>
        <v>400.17500000000001</v>
      </c>
      <c r="AB642" s="439">
        <f t="shared" si="690"/>
        <v>0</v>
      </c>
      <c r="AC642" s="439">
        <f t="shared" si="690"/>
        <v>0</v>
      </c>
      <c r="AD642" s="439">
        <f t="shared" si="690"/>
        <v>0</v>
      </c>
      <c r="AE642" s="440">
        <f t="shared" si="691"/>
        <v>400.17500000000001</v>
      </c>
      <c r="AF642" s="439">
        <f t="shared" si="691"/>
        <v>1775.481</v>
      </c>
      <c r="AG642" s="439">
        <f t="shared" si="692"/>
        <v>-1775.481</v>
      </c>
      <c r="AH642" s="439">
        <f t="shared" si="692"/>
        <v>0</v>
      </c>
      <c r="AI642" s="439">
        <f t="shared" si="692"/>
        <v>0</v>
      </c>
      <c r="AJ642" s="440">
        <f t="shared" si="693"/>
        <v>0</v>
      </c>
      <c r="AK642" s="439">
        <f t="shared" si="693"/>
        <v>0</v>
      </c>
      <c r="AL642" s="439">
        <f t="shared" si="694"/>
        <v>848.23199999999997</v>
      </c>
      <c r="AM642" s="439">
        <f t="shared" si="694"/>
        <v>-0.2319999999999709</v>
      </c>
      <c r="AN642" s="439">
        <f t="shared" si="694"/>
        <v>0</v>
      </c>
      <c r="AO642" s="440">
        <f t="shared" si="695"/>
        <v>848</v>
      </c>
      <c r="AP642" s="439">
        <f t="shared" si="695"/>
        <v>2309</v>
      </c>
      <c r="AQ642" s="439">
        <f t="shared" si="696"/>
        <v>0</v>
      </c>
      <c r="AR642" s="439">
        <f t="shared" si="696"/>
        <v>4973</v>
      </c>
      <c r="AS642" s="439">
        <f t="shared" si="696"/>
        <v>4987</v>
      </c>
      <c r="AT642" s="440">
        <f t="shared" si="697"/>
        <v>12269</v>
      </c>
      <c r="AU642" s="439">
        <f t="shared" si="697"/>
        <v>0</v>
      </c>
      <c r="AV642" s="439">
        <f t="shared" si="698"/>
        <v>0</v>
      </c>
      <c r="AW642" s="726">
        <f t="shared" si="698"/>
        <v>0</v>
      </c>
      <c r="AX642" s="439"/>
      <c r="AY642" s="440">
        <f t="shared" si="699"/>
        <v>0</v>
      </c>
      <c r="AZ642" s="439"/>
      <c r="BA642" s="439"/>
      <c r="BB642" s="439"/>
      <c r="BC642" s="439"/>
      <c r="BD642" s="440">
        <f t="shared" si="700"/>
        <v>0</v>
      </c>
      <c r="BE642" s="440"/>
      <c r="BF642" s="440"/>
      <c r="BG642" s="440"/>
      <c r="BH642" s="361"/>
    </row>
    <row r="643" spans="1:60" s="356" customFormat="1" x14ac:dyDescent="0.25">
      <c r="A643" s="526" t="str">
        <f t="shared" si="680"/>
        <v>Repayments of borrowings under solar bonds issued to related parties</v>
      </c>
      <c r="B643" s="439"/>
      <c r="C643" s="440">
        <f t="shared" si="681"/>
        <v>0</v>
      </c>
      <c r="D643" s="440">
        <f t="shared" si="681"/>
        <v>0</v>
      </c>
      <c r="E643" s="440">
        <f t="shared" si="681"/>
        <v>0</v>
      </c>
      <c r="F643" s="440">
        <f t="shared" si="681"/>
        <v>0</v>
      </c>
      <c r="G643" s="439">
        <f t="shared" si="681"/>
        <v>0</v>
      </c>
      <c r="H643" s="439">
        <f t="shared" si="682"/>
        <v>0</v>
      </c>
      <c r="I643" s="439">
        <f t="shared" si="682"/>
        <v>0</v>
      </c>
      <c r="J643" s="439">
        <f t="shared" si="682"/>
        <v>0</v>
      </c>
      <c r="K643" s="440">
        <f t="shared" si="683"/>
        <v>0</v>
      </c>
      <c r="L643" s="439">
        <f t="shared" si="683"/>
        <v>0</v>
      </c>
      <c r="M643" s="439">
        <f t="shared" si="684"/>
        <v>0</v>
      </c>
      <c r="N643" s="439">
        <f t="shared" si="684"/>
        <v>0</v>
      </c>
      <c r="O643" s="439">
        <f t="shared" si="684"/>
        <v>0</v>
      </c>
      <c r="P643" s="440">
        <f t="shared" si="685"/>
        <v>0</v>
      </c>
      <c r="Q643" s="439">
        <f t="shared" si="685"/>
        <v>0</v>
      </c>
      <c r="R643" s="439">
        <f t="shared" si="686"/>
        <v>0</v>
      </c>
      <c r="S643" s="439">
        <f t="shared" si="686"/>
        <v>0</v>
      </c>
      <c r="T643" s="439">
        <f t="shared" si="686"/>
        <v>0</v>
      </c>
      <c r="U643" s="440">
        <f t="shared" si="687"/>
        <v>0</v>
      </c>
      <c r="V643" s="439">
        <f t="shared" si="687"/>
        <v>0</v>
      </c>
      <c r="W643" s="439">
        <f t="shared" si="688"/>
        <v>0</v>
      </c>
      <c r="X643" s="439">
        <f t="shared" si="688"/>
        <v>0</v>
      </c>
      <c r="Y643" s="439">
        <f t="shared" si="688"/>
        <v>-1857.5940000000001</v>
      </c>
      <c r="Z643" s="440">
        <f t="shared" si="689"/>
        <v>-1857.5940000000001</v>
      </c>
      <c r="AA643" s="439">
        <f t="shared" si="689"/>
        <v>-90</v>
      </c>
      <c r="AB643" s="439">
        <f t="shared" si="690"/>
        <v>-75</v>
      </c>
      <c r="AC643" s="439">
        <f t="shared" si="690"/>
        <v>0</v>
      </c>
      <c r="AD643" s="439">
        <f t="shared" si="690"/>
        <v>0</v>
      </c>
      <c r="AE643" s="440">
        <f t="shared" si="691"/>
        <v>-165</v>
      </c>
      <c r="AF643" s="439">
        <f t="shared" si="691"/>
        <v>-17.5</v>
      </c>
      <c r="AG643" s="439">
        <f t="shared" si="692"/>
        <v>0</v>
      </c>
      <c r="AH643" s="439">
        <f t="shared" si="692"/>
        <v>-82.5</v>
      </c>
      <c r="AI643" s="439">
        <f t="shared" si="692"/>
        <v>0</v>
      </c>
      <c r="AJ643" s="440">
        <f t="shared" si="693"/>
        <v>-100</v>
      </c>
      <c r="AK643" s="439">
        <f t="shared" si="693"/>
        <v>0</v>
      </c>
      <c r="AL643" s="439">
        <f t="shared" si="694"/>
        <v>0</v>
      </c>
      <c r="AM643" s="439">
        <f t="shared" si="694"/>
        <v>0</v>
      </c>
      <c r="AN643" s="439">
        <f t="shared" si="694"/>
        <v>0</v>
      </c>
      <c r="AO643" s="440">
        <f t="shared" si="695"/>
        <v>0</v>
      </c>
      <c r="AP643" s="439">
        <f t="shared" si="695"/>
        <v>0</v>
      </c>
      <c r="AQ643" s="439">
        <f t="shared" si="696"/>
        <v>0</v>
      </c>
      <c r="AR643" s="439">
        <f t="shared" si="696"/>
        <v>0</v>
      </c>
      <c r="AS643" s="439">
        <f t="shared" si="696"/>
        <v>0</v>
      </c>
      <c r="AT643" s="440">
        <f t="shared" si="697"/>
        <v>0</v>
      </c>
      <c r="AU643" s="439">
        <f t="shared" si="697"/>
        <v>0</v>
      </c>
      <c r="AV643" s="439">
        <f t="shared" si="698"/>
        <v>0</v>
      </c>
      <c r="AW643" s="726">
        <f t="shared" si="698"/>
        <v>0</v>
      </c>
      <c r="AX643" s="439"/>
      <c r="AY643" s="440">
        <f t="shared" si="699"/>
        <v>0</v>
      </c>
      <c r="AZ643" s="439"/>
      <c r="BA643" s="439"/>
      <c r="BB643" s="439"/>
      <c r="BC643" s="439"/>
      <c r="BD643" s="440">
        <f t="shared" si="700"/>
        <v>0</v>
      </c>
      <c r="BE643" s="440"/>
      <c r="BF643" s="440"/>
      <c r="BG643" s="440"/>
      <c r="BH643" s="361"/>
    </row>
    <row r="644" spans="1:60" s="356" customFormat="1" x14ac:dyDescent="0.25">
      <c r="A644" s="526" t="str">
        <f t="shared" si="680"/>
        <v>Repayments of convertible and other debt</v>
      </c>
      <c r="B644" s="439"/>
      <c r="C644" s="440">
        <f t="shared" ref="C644:G653" si="702">C554</f>
        <v>0</v>
      </c>
      <c r="D644" s="440">
        <f t="shared" si="702"/>
        <v>0</v>
      </c>
      <c r="E644" s="440">
        <f t="shared" si="702"/>
        <v>0</v>
      </c>
      <c r="F644" s="440">
        <f t="shared" si="702"/>
        <v>0</v>
      </c>
      <c r="G644" s="439">
        <f t="shared" si="702"/>
        <v>0</v>
      </c>
      <c r="H644" s="439">
        <f t="shared" si="682"/>
        <v>0</v>
      </c>
      <c r="I644" s="439">
        <f t="shared" si="682"/>
        <v>0</v>
      </c>
      <c r="J644" s="439">
        <f t="shared" si="682"/>
        <v>0</v>
      </c>
      <c r="K644" s="440">
        <f t="shared" si="683"/>
        <v>0</v>
      </c>
      <c r="L644" s="439">
        <f t="shared" si="683"/>
        <v>0</v>
      </c>
      <c r="M644" s="439">
        <f t="shared" si="684"/>
        <v>0</v>
      </c>
      <c r="N644" s="439">
        <f t="shared" si="684"/>
        <v>0</v>
      </c>
      <c r="O644" s="439">
        <f t="shared" si="684"/>
        <v>0</v>
      </c>
      <c r="P644" s="440">
        <f t="shared" si="685"/>
        <v>0</v>
      </c>
      <c r="Q644" s="439">
        <f t="shared" si="685"/>
        <v>0</v>
      </c>
      <c r="R644" s="439">
        <f t="shared" si="686"/>
        <v>0</v>
      </c>
      <c r="S644" s="439">
        <f t="shared" si="686"/>
        <v>0</v>
      </c>
      <c r="T644" s="439">
        <f t="shared" si="686"/>
        <v>0</v>
      </c>
      <c r="U644" s="440">
        <f t="shared" si="687"/>
        <v>0</v>
      </c>
      <c r="V644" s="439">
        <f t="shared" si="687"/>
        <v>0</v>
      </c>
      <c r="W644" s="439">
        <f t="shared" si="688"/>
        <v>0</v>
      </c>
      <c r="X644" s="439">
        <f t="shared" si="688"/>
        <v>0</v>
      </c>
      <c r="Y644" s="439">
        <f t="shared" si="688"/>
        <v>0</v>
      </c>
      <c r="Z644" s="440">
        <f t="shared" si="689"/>
        <v>0</v>
      </c>
      <c r="AA644" s="439">
        <f t="shared" si="689"/>
        <v>0</v>
      </c>
      <c r="AB644" s="439">
        <f t="shared" si="690"/>
        <v>-1412.2860000000001</v>
      </c>
      <c r="AC644" s="439">
        <f t="shared" si="690"/>
        <v>-1030.6559999999999</v>
      </c>
      <c r="AD644" s="439">
        <f t="shared" si="690"/>
        <v>-1552.5419999999999</v>
      </c>
      <c r="AE644" s="440">
        <f t="shared" si="691"/>
        <v>-3995.4839999999999</v>
      </c>
      <c r="AF644" s="439">
        <f t="shared" si="691"/>
        <v>-1389.3879999999999</v>
      </c>
      <c r="AG644" s="439">
        <f t="shared" si="692"/>
        <v>-879.32799999999997</v>
      </c>
      <c r="AH644" s="439">
        <f t="shared" si="692"/>
        <v>-842.52600000000029</v>
      </c>
      <c r="AI644" s="439">
        <f t="shared" si="692"/>
        <v>-2135.8149999999996</v>
      </c>
      <c r="AJ644" s="440">
        <f t="shared" si="693"/>
        <v>-5247.0569999999998</v>
      </c>
      <c r="AK644" s="439">
        <f t="shared" si="693"/>
        <v>-1970.7090000000001</v>
      </c>
      <c r="AL644" s="439">
        <f t="shared" si="694"/>
        <v>-1729.6229999999998</v>
      </c>
      <c r="AM644" s="439">
        <f t="shared" si="694"/>
        <v>-1900.6680000000001</v>
      </c>
      <c r="AN644" s="439">
        <f t="shared" si="694"/>
        <v>-3560</v>
      </c>
      <c r="AO644" s="440">
        <f t="shared" si="695"/>
        <v>-9161</v>
      </c>
      <c r="AP644" s="439">
        <f t="shared" si="695"/>
        <v>-2318</v>
      </c>
      <c r="AQ644" s="439">
        <f t="shared" si="696"/>
        <v>-1908</v>
      </c>
      <c r="AR644" s="439">
        <f t="shared" si="696"/>
        <v>-3311</v>
      </c>
      <c r="AS644" s="439">
        <f t="shared" si="696"/>
        <v>-4086</v>
      </c>
      <c r="AT644" s="440">
        <f t="shared" si="697"/>
        <v>-11623</v>
      </c>
      <c r="AU644" s="439">
        <f t="shared" si="697"/>
        <v>-4038</v>
      </c>
      <c r="AV644" s="439">
        <f t="shared" si="698"/>
        <v>-3370</v>
      </c>
      <c r="AW644" s="726">
        <f t="shared" si="698"/>
        <v>-4181</v>
      </c>
      <c r="AX644" s="439"/>
      <c r="AY644" s="440">
        <f t="shared" si="699"/>
        <v>-11589</v>
      </c>
      <c r="AZ644" s="439"/>
      <c r="BA644" s="439"/>
      <c r="BB644" s="439"/>
      <c r="BC644" s="439"/>
      <c r="BD644" s="440">
        <f t="shared" si="700"/>
        <v>0</v>
      </c>
      <c r="BE644" s="440"/>
      <c r="BF644" s="440"/>
      <c r="BG644" s="440"/>
      <c r="BH644" s="361"/>
    </row>
    <row r="645" spans="1:60" s="356" customFormat="1" x14ac:dyDescent="0.25">
      <c r="A645" s="526" t="str">
        <f t="shared" si="680"/>
        <v>Proceeds from settlement of convertible note hedges</v>
      </c>
      <c r="B645" s="439"/>
      <c r="C645" s="440">
        <f t="shared" si="702"/>
        <v>0</v>
      </c>
      <c r="D645" s="440">
        <f t="shared" si="702"/>
        <v>0</v>
      </c>
      <c r="E645" s="440">
        <f t="shared" si="702"/>
        <v>0</v>
      </c>
      <c r="F645" s="440">
        <f t="shared" si="702"/>
        <v>0</v>
      </c>
      <c r="G645" s="439">
        <f t="shared" si="702"/>
        <v>0</v>
      </c>
      <c r="H645" s="439">
        <f t="shared" si="682"/>
        <v>0</v>
      </c>
      <c r="I645" s="439">
        <f t="shared" si="682"/>
        <v>0</v>
      </c>
      <c r="J645" s="439">
        <f t="shared" si="682"/>
        <v>0</v>
      </c>
      <c r="K645" s="440">
        <f t="shared" si="683"/>
        <v>0</v>
      </c>
      <c r="L645" s="439">
        <f t="shared" si="683"/>
        <v>0</v>
      </c>
      <c r="M645" s="439">
        <f t="shared" si="684"/>
        <v>0</v>
      </c>
      <c r="N645" s="439">
        <f t="shared" si="684"/>
        <v>0</v>
      </c>
      <c r="O645" s="439">
        <f t="shared" si="684"/>
        <v>0</v>
      </c>
      <c r="P645" s="440">
        <f t="shared" si="685"/>
        <v>0</v>
      </c>
      <c r="Q645" s="439">
        <f t="shared" si="685"/>
        <v>0</v>
      </c>
      <c r="R645" s="439">
        <f t="shared" si="686"/>
        <v>0</v>
      </c>
      <c r="S645" s="439">
        <f t="shared" si="686"/>
        <v>0</v>
      </c>
      <c r="T645" s="439">
        <f t="shared" si="686"/>
        <v>0</v>
      </c>
      <c r="U645" s="440">
        <f t="shared" si="687"/>
        <v>0</v>
      </c>
      <c r="V645" s="439">
        <f t="shared" si="687"/>
        <v>0</v>
      </c>
      <c r="W645" s="439">
        <f t="shared" si="688"/>
        <v>0</v>
      </c>
      <c r="X645" s="439">
        <f t="shared" si="688"/>
        <v>0</v>
      </c>
      <c r="Y645" s="439">
        <f t="shared" si="688"/>
        <v>0</v>
      </c>
      <c r="Z645" s="440">
        <f t="shared" si="689"/>
        <v>0</v>
      </c>
      <c r="AA645" s="439">
        <f t="shared" si="689"/>
        <v>0</v>
      </c>
      <c r="AB645" s="439">
        <f t="shared" si="690"/>
        <v>251.85</v>
      </c>
      <c r="AC645" s="439">
        <f t="shared" si="690"/>
        <v>17.606000000000023</v>
      </c>
      <c r="AD645" s="439">
        <f t="shared" si="690"/>
        <v>17.757000000000005</v>
      </c>
      <c r="AE645" s="440">
        <f t="shared" si="691"/>
        <v>287.21300000000002</v>
      </c>
      <c r="AF645" s="439">
        <f t="shared" si="691"/>
        <v>0</v>
      </c>
      <c r="AG645" s="439">
        <f t="shared" si="692"/>
        <v>0</v>
      </c>
      <c r="AH645" s="439">
        <f t="shared" si="692"/>
        <v>0</v>
      </c>
      <c r="AI645" s="439">
        <f t="shared" si="692"/>
        <v>0</v>
      </c>
      <c r="AJ645" s="440">
        <f t="shared" si="693"/>
        <v>0</v>
      </c>
      <c r="AK645" s="439">
        <f t="shared" si="693"/>
        <v>0</v>
      </c>
      <c r="AL645" s="439">
        <f t="shared" si="694"/>
        <v>0</v>
      </c>
      <c r="AM645" s="439">
        <f t="shared" si="694"/>
        <v>0</v>
      </c>
      <c r="AN645" s="439">
        <f t="shared" si="694"/>
        <v>0</v>
      </c>
      <c r="AO645" s="440">
        <f t="shared" si="695"/>
        <v>0</v>
      </c>
      <c r="AP645" s="439">
        <f t="shared" si="695"/>
        <v>0</v>
      </c>
      <c r="AQ645" s="439">
        <f t="shared" si="696"/>
        <v>0</v>
      </c>
      <c r="AR645" s="439">
        <f t="shared" si="696"/>
        <v>0</v>
      </c>
      <c r="AS645" s="439">
        <f t="shared" si="696"/>
        <v>0</v>
      </c>
      <c r="AT645" s="440">
        <f t="shared" si="697"/>
        <v>0</v>
      </c>
      <c r="AU645" s="439">
        <f t="shared" si="697"/>
        <v>0</v>
      </c>
      <c r="AV645" s="439">
        <f t="shared" si="698"/>
        <v>0</v>
      </c>
      <c r="AW645" s="726">
        <f t="shared" si="698"/>
        <v>0</v>
      </c>
      <c r="AX645" s="439"/>
      <c r="AY645" s="440">
        <f t="shared" si="699"/>
        <v>0</v>
      </c>
      <c r="AZ645" s="439"/>
      <c r="BA645" s="439"/>
      <c r="BB645" s="439"/>
      <c r="BC645" s="439"/>
      <c r="BD645" s="440">
        <f t="shared" si="700"/>
        <v>0</v>
      </c>
      <c r="BE645" s="440"/>
      <c r="BF645" s="440"/>
      <c r="BG645" s="440"/>
      <c r="BH645" s="361"/>
    </row>
    <row r="646" spans="1:60" s="356" customFormat="1" x14ac:dyDescent="0.25">
      <c r="A646" s="526" t="str">
        <f t="shared" si="680"/>
        <v>Payment for settlements of warrants</v>
      </c>
      <c r="B646" s="439"/>
      <c r="C646" s="440">
        <f t="shared" si="702"/>
        <v>0</v>
      </c>
      <c r="D646" s="440">
        <f t="shared" si="702"/>
        <v>0</v>
      </c>
      <c r="E646" s="440">
        <f t="shared" si="702"/>
        <v>0</v>
      </c>
      <c r="F646" s="440">
        <f t="shared" si="702"/>
        <v>0</v>
      </c>
      <c r="G646" s="439">
        <f t="shared" si="702"/>
        <v>0</v>
      </c>
      <c r="H646" s="439">
        <f t="shared" si="682"/>
        <v>0</v>
      </c>
      <c r="I646" s="439">
        <f t="shared" si="682"/>
        <v>0</v>
      </c>
      <c r="J646" s="439">
        <f t="shared" si="682"/>
        <v>0</v>
      </c>
      <c r="K646" s="440">
        <f t="shared" si="683"/>
        <v>0</v>
      </c>
      <c r="L646" s="439">
        <f t="shared" si="683"/>
        <v>0</v>
      </c>
      <c r="M646" s="439">
        <f t="shared" si="684"/>
        <v>0</v>
      </c>
      <c r="N646" s="439">
        <f t="shared" si="684"/>
        <v>0</v>
      </c>
      <c r="O646" s="439">
        <f t="shared" si="684"/>
        <v>0</v>
      </c>
      <c r="P646" s="440">
        <f t="shared" si="685"/>
        <v>0</v>
      </c>
      <c r="Q646" s="439">
        <f t="shared" si="685"/>
        <v>0</v>
      </c>
      <c r="R646" s="439">
        <f t="shared" si="686"/>
        <v>0</v>
      </c>
      <c r="S646" s="439">
        <f t="shared" si="686"/>
        <v>0</v>
      </c>
      <c r="T646" s="439">
        <f t="shared" si="686"/>
        <v>0</v>
      </c>
      <c r="U646" s="440">
        <f t="shared" si="687"/>
        <v>0</v>
      </c>
      <c r="V646" s="439">
        <f t="shared" si="687"/>
        <v>0</v>
      </c>
      <c r="W646" s="439">
        <f t="shared" si="688"/>
        <v>0</v>
      </c>
      <c r="X646" s="439">
        <f t="shared" si="688"/>
        <v>0</v>
      </c>
      <c r="Y646" s="439">
        <f t="shared" si="688"/>
        <v>0</v>
      </c>
      <c r="Z646" s="440">
        <f t="shared" si="689"/>
        <v>0</v>
      </c>
      <c r="AA646" s="439">
        <f t="shared" si="689"/>
        <v>0</v>
      </c>
      <c r="AB646" s="439">
        <f t="shared" si="690"/>
        <v>-208.19300000000001</v>
      </c>
      <c r="AC646" s="439">
        <f t="shared" si="690"/>
        <v>-11.344999999999999</v>
      </c>
      <c r="AD646" s="439">
        <f t="shared" si="690"/>
        <v>-10.84699999999998</v>
      </c>
      <c r="AE646" s="440">
        <f t="shared" si="691"/>
        <v>-230.38499999999999</v>
      </c>
      <c r="AF646" s="439">
        <f t="shared" si="691"/>
        <v>0</v>
      </c>
      <c r="AG646" s="439">
        <f t="shared" si="692"/>
        <v>0</v>
      </c>
      <c r="AH646" s="439">
        <f t="shared" si="692"/>
        <v>-5.0000000000000001E-3</v>
      </c>
      <c r="AI646" s="439">
        <f t="shared" si="692"/>
        <v>-5.9999999999999993E-3</v>
      </c>
      <c r="AJ646" s="440">
        <f t="shared" si="693"/>
        <v>-1.0999999999999999E-2</v>
      </c>
      <c r="AK646" s="439">
        <f t="shared" si="693"/>
        <v>0</v>
      </c>
      <c r="AL646" s="439">
        <f t="shared" si="694"/>
        <v>0</v>
      </c>
      <c r="AM646" s="439">
        <f t="shared" si="694"/>
        <v>0</v>
      </c>
      <c r="AN646" s="439">
        <f t="shared" si="694"/>
        <v>0</v>
      </c>
      <c r="AO646" s="440">
        <f t="shared" si="695"/>
        <v>0</v>
      </c>
      <c r="AP646" s="439">
        <f t="shared" si="695"/>
        <v>0</v>
      </c>
      <c r="AQ646" s="439">
        <f t="shared" si="696"/>
        <v>0</v>
      </c>
      <c r="AR646" s="439">
        <f t="shared" si="696"/>
        <v>0</v>
      </c>
      <c r="AS646" s="439">
        <f t="shared" si="696"/>
        <v>0</v>
      </c>
      <c r="AT646" s="440">
        <f t="shared" si="697"/>
        <v>0</v>
      </c>
      <c r="AU646" s="439">
        <f t="shared" si="697"/>
        <v>0</v>
      </c>
      <c r="AV646" s="439">
        <f t="shared" si="698"/>
        <v>0</v>
      </c>
      <c r="AW646" s="726">
        <f t="shared" si="698"/>
        <v>0</v>
      </c>
      <c r="AX646" s="439"/>
      <c r="AY646" s="440">
        <f t="shared" si="699"/>
        <v>0</v>
      </c>
      <c r="AZ646" s="439"/>
      <c r="BA646" s="439"/>
      <c r="BB646" s="439"/>
      <c r="BC646" s="439"/>
      <c r="BD646" s="440">
        <f t="shared" si="700"/>
        <v>0</v>
      </c>
      <c r="BE646" s="440"/>
      <c r="BF646" s="440"/>
      <c r="BG646" s="440"/>
      <c r="BH646" s="361"/>
    </row>
    <row r="647" spans="1:60" s="356" customFormat="1" x14ac:dyDescent="0.25">
      <c r="A647" s="526" t="str">
        <f t="shared" si="680"/>
        <v>Proceeds from issuance of warrants</v>
      </c>
      <c r="B647" s="439"/>
      <c r="C647" s="440">
        <f t="shared" si="702"/>
        <v>0</v>
      </c>
      <c r="D647" s="440">
        <f t="shared" si="702"/>
        <v>0</v>
      </c>
      <c r="E647" s="440">
        <f t="shared" si="702"/>
        <v>0</v>
      </c>
      <c r="F647" s="440">
        <f t="shared" si="702"/>
        <v>0</v>
      </c>
      <c r="G647" s="439">
        <f t="shared" si="702"/>
        <v>0</v>
      </c>
      <c r="H647" s="439">
        <f t="shared" si="682"/>
        <v>120.318</v>
      </c>
      <c r="I647" s="439">
        <f t="shared" si="682"/>
        <v>0</v>
      </c>
      <c r="J647" s="439">
        <f t="shared" si="682"/>
        <v>0</v>
      </c>
      <c r="K647" s="440">
        <f t="shared" si="683"/>
        <v>120.318</v>
      </c>
      <c r="L647" s="439">
        <f t="shared" si="683"/>
        <v>338.4</v>
      </c>
      <c r="M647" s="439">
        <f t="shared" si="684"/>
        <v>50.760000000000048</v>
      </c>
      <c r="N647" s="439">
        <f t="shared" si="684"/>
        <v>0</v>
      </c>
      <c r="O647" s="439">
        <f t="shared" si="684"/>
        <v>0</v>
      </c>
      <c r="P647" s="440">
        <f t="shared" si="685"/>
        <v>389.16</v>
      </c>
      <c r="Q647" s="439">
        <f t="shared" si="685"/>
        <v>0</v>
      </c>
      <c r="R647" s="439">
        <f t="shared" si="686"/>
        <v>0</v>
      </c>
      <c r="S647" s="439">
        <f t="shared" si="686"/>
        <v>0</v>
      </c>
      <c r="T647" s="439">
        <f t="shared" si="686"/>
        <v>0</v>
      </c>
      <c r="U647" s="440">
        <f t="shared" si="687"/>
        <v>0</v>
      </c>
      <c r="V647" s="439">
        <f t="shared" si="687"/>
        <v>0</v>
      </c>
      <c r="W647" s="439">
        <f t="shared" si="688"/>
        <v>0</v>
      </c>
      <c r="X647" s="439">
        <f t="shared" si="688"/>
        <v>0</v>
      </c>
      <c r="Y647" s="439">
        <f t="shared" si="688"/>
        <v>0</v>
      </c>
      <c r="Z647" s="440">
        <f t="shared" si="689"/>
        <v>0</v>
      </c>
      <c r="AA647" s="439">
        <f t="shared" si="689"/>
        <v>52.883000000000003</v>
      </c>
      <c r="AB647" s="439">
        <f t="shared" si="690"/>
        <v>0</v>
      </c>
      <c r="AC647" s="439">
        <f t="shared" si="690"/>
        <v>0</v>
      </c>
      <c r="AD647" s="439">
        <f t="shared" si="690"/>
        <v>0</v>
      </c>
      <c r="AE647" s="440">
        <f t="shared" si="691"/>
        <v>52.883000000000003</v>
      </c>
      <c r="AF647" s="439">
        <f t="shared" si="691"/>
        <v>0</v>
      </c>
      <c r="AG647" s="439">
        <f t="shared" si="692"/>
        <v>0</v>
      </c>
      <c r="AH647" s="439">
        <f t="shared" si="692"/>
        <v>0</v>
      </c>
      <c r="AI647" s="439">
        <f t="shared" si="692"/>
        <v>0</v>
      </c>
      <c r="AJ647" s="440">
        <f t="shared" si="693"/>
        <v>0</v>
      </c>
      <c r="AK647" s="439">
        <f t="shared" si="693"/>
        <v>0</v>
      </c>
      <c r="AL647" s="439">
        <f t="shared" si="694"/>
        <v>174.43199999999999</v>
      </c>
      <c r="AM647" s="439">
        <f t="shared" si="694"/>
        <v>-0.43199999999998795</v>
      </c>
      <c r="AN647" s="439">
        <f t="shared" si="694"/>
        <v>0</v>
      </c>
      <c r="AO647" s="440">
        <f t="shared" si="695"/>
        <v>174</v>
      </c>
      <c r="AP647" s="439">
        <f t="shared" si="695"/>
        <v>0</v>
      </c>
      <c r="AQ647" s="439">
        <f t="shared" si="696"/>
        <v>0</v>
      </c>
      <c r="AR647" s="439">
        <f t="shared" si="696"/>
        <v>0</v>
      </c>
      <c r="AS647" s="439">
        <f t="shared" si="696"/>
        <v>0</v>
      </c>
      <c r="AT647" s="440">
        <f t="shared" si="697"/>
        <v>0</v>
      </c>
      <c r="AU647" s="439">
        <f t="shared" si="697"/>
        <v>0</v>
      </c>
      <c r="AV647" s="439">
        <f t="shared" si="698"/>
        <v>0</v>
      </c>
      <c r="AW647" s="726">
        <f t="shared" si="698"/>
        <v>0</v>
      </c>
      <c r="AX647" s="439"/>
      <c r="AY647" s="440">
        <f t="shared" si="699"/>
        <v>0</v>
      </c>
      <c r="AZ647" s="439"/>
      <c r="BA647" s="439"/>
      <c r="BB647" s="439"/>
      <c r="BC647" s="439"/>
      <c r="BD647" s="440">
        <f t="shared" si="700"/>
        <v>0</v>
      </c>
      <c r="BE647" s="440"/>
      <c r="BF647" s="440"/>
      <c r="BG647" s="440"/>
      <c r="BH647" s="361"/>
    </row>
    <row r="648" spans="1:60" s="356" customFormat="1" x14ac:dyDescent="0.25">
      <c r="A648" s="526" t="str">
        <f t="shared" si="680"/>
        <v>Proceeds from exercise of stock options and other stock issuances</v>
      </c>
      <c r="B648" s="439"/>
      <c r="C648" s="440">
        <f t="shared" si="702"/>
        <v>0.497</v>
      </c>
      <c r="D648" s="440">
        <f t="shared" si="702"/>
        <v>1.35</v>
      </c>
      <c r="E648" s="440">
        <f t="shared" si="702"/>
        <v>10.525</v>
      </c>
      <c r="F648" s="440">
        <f t="shared" si="702"/>
        <v>24.885000000000002</v>
      </c>
      <c r="G648" s="439">
        <f t="shared" si="702"/>
        <v>17.902999999999999</v>
      </c>
      <c r="H648" s="439">
        <f t="shared" si="682"/>
        <v>37.188000000000002</v>
      </c>
      <c r="I648" s="439">
        <f t="shared" si="682"/>
        <v>27.127999999999993</v>
      </c>
      <c r="J648" s="439">
        <f t="shared" si="682"/>
        <v>13.088000000000008</v>
      </c>
      <c r="K648" s="440">
        <f t="shared" si="683"/>
        <v>95.307000000000002</v>
      </c>
      <c r="L648" s="439">
        <f t="shared" si="683"/>
        <v>35.725999999999999</v>
      </c>
      <c r="M648" s="439">
        <f t="shared" si="684"/>
        <v>17.389000000000003</v>
      </c>
      <c r="N648" s="439">
        <f t="shared" si="684"/>
        <v>36.809999999999995</v>
      </c>
      <c r="O648" s="439">
        <f t="shared" si="684"/>
        <v>10.530000000000001</v>
      </c>
      <c r="P648" s="440">
        <f t="shared" si="685"/>
        <v>100.455</v>
      </c>
      <c r="Q648" s="439">
        <f t="shared" si="685"/>
        <v>35.218000000000004</v>
      </c>
      <c r="R648" s="439">
        <f t="shared" si="686"/>
        <v>23.652999999999999</v>
      </c>
      <c r="S648" s="439">
        <f t="shared" si="686"/>
        <v>35.154999999999994</v>
      </c>
      <c r="T648" s="439">
        <f t="shared" si="686"/>
        <v>12.585000000000008</v>
      </c>
      <c r="U648" s="440">
        <f t="shared" si="687"/>
        <v>106.611</v>
      </c>
      <c r="V648" s="439">
        <f t="shared" si="687"/>
        <v>52.838000000000001</v>
      </c>
      <c r="W648" s="439">
        <f t="shared" si="688"/>
        <v>57.639999999999993</v>
      </c>
      <c r="X648" s="439">
        <f t="shared" si="688"/>
        <v>42.983000000000018</v>
      </c>
      <c r="Y648" s="439">
        <f t="shared" si="688"/>
        <v>10.355999999999995</v>
      </c>
      <c r="Z648" s="440">
        <f t="shared" si="689"/>
        <v>163.81700000000001</v>
      </c>
      <c r="AA648" s="439">
        <f t="shared" si="689"/>
        <v>57.307000000000002</v>
      </c>
      <c r="AB648" s="439">
        <f t="shared" si="690"/>
        <v>101.60600000000001</v>
      </c>
      <c r="AC648" s="439">
        <f t="shared" si="690"/>
        <v>80.414999999999992</v>
      </c>
      <c r="AD648" s="439">
        <f t="shared" si="690"/>
        <v>19.787999999999982</v>
      </c>
      <c r="AE648" s="440">
        <f t="shared" si="691"/>
        <v>259.11599999999999</v>
      </c>
      <c r="AF648" s="439">
        <f t="shared" si="691"/>
        <v>94.018000000000001</v>
      </c>
      <c r="AG648" s="439">
        <f t="shared" si="692"/>
        <v>31.052999999999997</v>
      </c>
      <c r="AH648" s="439">
        <f t="shared" si="692"/>
        <v>94.873999999999995</v>
      </c>
      <c r="AI648" s="439">
        <f t="shared" si="692"/>
        <v>75.776999999999987</v>
      </c>
      <c r="AJ648" s="440">
        <f t="shared" si="693"/>
        <v>295.72199999999998</v>
      </c>
      <c r="AK648" s="439">
        <f t="shared" si="693"/>
        <v>77.953000000000003</v>
      </c>
      <c r="AL648" s="439">
        <f t="shared" si="694"/>
        <v>17.631999999999991</v>
      </c>
      <c r="AM648" s="439">
        <f t="shared" si="694"/>
        <v>71.415000000000006</v>
      </c>
      <c r="AN648" s="439">
        <f t="shared" si="694"/>
        <v>96</v>
      </c>
      <c r="AO648" s="440">
        <f t="shared" si="695"/>
        <v>263</v>
      </c>
      <c r="AP648" s="439">
        <f t="shared" si="695"/>
        <v>160</v>
      </c>
      <c r="AQ648" s="439">
        <f t="shared" si="696"/>
        <v>57</v>
      </c>
      <c r="AR648" s="439">
        <f t="shared" si="696"/>
        <v>144</v>
      </c>
      <c r="AS648" s="439">
        <f t="shared" si="696"/>
        <v>56</v>
      </c>
      <c r="AT648" s="440">
        <f t="shared" si="697"/>
        <v>417</v>
      </c>
      <c r="AU648" s="439">
        <f t="shared" si="697"/>
        <v>183</v>
      </c>
      <c r="AV648" s="439">
        <f t="shared" si="698"/>
        <v>70</v>
      </c>
      <c r="AW648" s="726">
        <f t="shared" si="698"/>
        <v>192</v>
      </c>
      <c r="AX648" s="439"/>
      <c r="AY648" s="440">
        <f t="shared" si="699"/>
        <v>445</v>
      </c>
      <c r="AZ648" s="439"/>
      <c r="BA648" s="439"/>
      <c r="BB648" s="439"/>
      <c r="BC648" s="439"/>
      <c r="BD648" s="440">
        <f t="shared" si="700"/>
        <v>0</v>
      </c>
      <c r="BE648" s="440"/>
      <c r="BF648" s="440"/>
      <c r="BG648" s="440"/>
      <c r="BH648" s="361"/>
    </row>
    <row r="649" spans="1:60" s="356" customFormat="1" x14ac:dyDescent="0.25">
      <c r="A649" s="526" t="str">
        <f t="shared" si="680"/>
        <v>Proceeds from issuance of common stock in private placement</v>
      </c>
      <c r="B649" s="439"/>
      <c r="C649" s="440">
        <f t="shared" si="702"/>
        <v>0</v>
      </c>
      <c r="D649" s="440">
        <f t="shared" si="702"/>
        <v>80</v>
      </c>
      <c r="E649" s="440">
        <f t="shared" si="702"/>
        <v>59.058</v>
      </c>
      <c r="F649" s="440">
        <f t="shared" si="702"/>
        <v>0</v>
      </c>
      <c r="G649" s="439">
        <f t="shared" si="702"/>
        <v>0</v>
      </c>
      <c r="H649" s="439">
        <f t="shared" si="682"/>
        <v>55</v>
      </c>
      <c r="I649" s="439">
        <f t="shared" si="682"/>
        <v>0</v>
      </c>
      <c r="J649" s="439">
        <f t="shared" si="682"/>
        <v>0</v>
      </c>
      <c r="K649" s="440">
        <f t="shared" si="683"/>
        <v>55</v>
      </c>
      <c r="L649" s="439">
        <f t="shared" si="683"/>
        <v>0</v>
      </c>
      <c r="M649" s="439">
        <f t="shared" si="684"/>
        <v>0</v>
      </c>
      <c r="N649" s="439">
        <f t="shared" si="684"/>
        <v>0</v>
      </c>
      <c r="O649" s="439">
        <f t="shared" si="684"/>
        <v>0</v>
      </c>
      <c r="P649" s="440">
        <f t="shared" si="685"/>
        <v>0</v>
      </c>
      <c r="Q649" s="439">
        <f t="shared" si="685"/>
        <v>0</v>
      </c>
      <c r="R649" s="439">
        <f t="shared" si="686"/>
        <v>0</v>
      </c>
      <c r="S649" s="439">
        <f t="shared" si="686"/>
        <v>0</v>
      </c>
      <c r="T649" s="439">
        <f t="shared" si="686"/>
        <v>20</v>
      </c>
      <c r="U649" s="440">
        <f t="shared" si="687"/>
        <v>20</v>
      </c>
      <c r="V649" s="439">
        <f t="shared" si="687"/>
        <v>0</v>
      </c>
      <c r="W649" s="439">
        <f t="shared" si="688"/>
        <v>0</v>
      </c>
      <c r="X649" s="439">
        <f t="shared" si="688"/>
        <v>0</v>
      </c>
      <c r="Y649" s="439">
        <f t="shared" si="688"/>
        <v>0</v>
      </c>
      <c r="Z649" s="440">
        <f t="shared" si="689"/>
        <v>0</v>
      </c>
      <c r="AA649" s="439">
        <f t="shared" si="689"/>
        <v>0</v>
      </c>
      <c r="AB649" s="439">
        <f t="shared" si="690"/>
        <v>0</v>
      </c>
      <c r="AC649" s="439">
        <f t="shared" si="690"/>
        <v>0</v>
      </c>
      <c r="AD649" s="439">
        <f t="shared" si="690"/>
        <v>0</v>
      </c>
      <c r="AE649" s="440">
        <f t="shared" si="691"/>
        <v>0</v>
      </c>
      <c r="AF649" s="439">
        <f t="shared" si="691"/>
        <v>0</v>
      </c>
      <c r="AG649" s="439">
        <f t="shared" si="692"/>
        <v>0</v>
      </c>
      <c r="AH649" s="439">
        <f t="shared" si="692"/>
        <v>0</v>
      </c>
      <c r="AI649" s="439">
        <f t="shared" si="692"/>
        <v>0</v>
      </c>
      <c r="AJ649" s="440">
        <f t="shared" si="693"/>
        <v>0</v>
      </c>
      <c r="AK649" s="439">
        <f t="shared" si="693"/>
        <v>0</v>
      </c>
      <c r="AL649" s="439">
        <f t="shared" si="694"/>
        <v>0</v>
      </c>
      <c r="AM649" s="439">
        <f t="shared" si="694"/>
        <v>0</v>
      </c>
      <c r="AN649" s="439">
        <f t="shared" si="694"/>
        <v>0</v>
      </c>
      <c r="AO649" s="440">
        <f t="shared" si="695"/>
        <v>0</v>
      </c>
      <c r="AP649" s="439">
        <f t="shared" si="695"/>
        <v>0</v>
      </c>
      <c r="AQ649" s="439">
        <f t="shared" si="696"/>
        <v>0</v>
      </c>
      <c r="AR649" s="439">
        <f t="shared" si="696"/>
        <v>0</v>
      </c>
      <c r="AS649" s="439">
        <f t="shared" si="696"/>
        <v>0</v>
      </c>
      <c r="AT649" s="440">
        <f t="shared" si="697"/>
        <v>0</v>
      </c>
      <c r="AU649" s="439">
        <f t="shared" si="697"/>
        <v>0</v>
      </c>
      <c r="AV649" s="439">
        <f t="shared" si="698"/>
        <v>0</v>
      </c>
      <c r="AW649" s="726">
        <f t="shared" si="698"/>
        <v>0</v>
      </c>
      <c r="AX649" s="439"/>
      <c r="AY649" s="440">
        <f t="shared" si="699"/>
        <v>0</v>
      </c>
      <c r="AZ649" s="439"/>
      <c r="BA649" s="439"/>
      <c r="BB649" s="439"/>
      <c r="BC649" s="439"/>
      <c r="BD649" s="440">
        <f t="shared" si="700"/>
        <v>0</v>
      </c>
      <c r="BE649" s="440"/>
      <c r="BF649" s="440"/>
      <c r="BG649" s="440"/>
      <c r="BH649" s="361"/>
    </row>
    <row r="650" spans="1:60" s="356" customFormat="1" x14ac:dyDescent="0.25">
      <c r="A650" s="526" t="str">
        <f t="shared" si="680"/>
        <v>Principal payments on DOE loans</v>
      </c>
      <c r="B650" s="439"/>
      <c r="C650" s="440">
        <f t="shared" si="702"/>
        <v>0</v>
      </c>
      <c r="D650" s="440">
        <f t="shared" si="702"/>
        <v>0</v>
      </c>
      <c r="E650" s="440">
        <f t="shared" si="702"/>
        <v>0</v>
      </c>
      <c r="F650" s="440">
        <f t="shared" si="702"/>
        <v>-12.71</v>
      </c>
      <c r="G650" s="439">
        <f t="shared" si="702"/>
        <v>0</v>
      </c>
      <c r="H650" s="439">
        <f t="shared" si="682"/>
        <v>-452.33699999999999</v>
      </c>
      <c r="I650" s="439">
        <f t="shared" si="682"/>
        <v>0</v>
      </c>
      <c r="J650" s="439">
        <f t="shared" si="682"/>
        <v>0</v>
      </c>
      <c r="K650" s="440">
        <f t="shared" si="683"/>
        <v>-452.33699999999999</v>
      </c>
      <c r="L650" s="439">
        <f t="shared" si="683"/>
        <v>0</v>
      </c>
      <c r="M650" s="439">
        <f t="shared" si="684"/>
        <v>0</v>
      </c>
      <c r="N650" s="439">
        <f t="shared" si="684"/>
        <v>0</v>
      </c>
      <c r="O650" s="439">
        <f t="shared" si="684"/>
        <v>0</v>
      </c>
      <c r="P650" s="440">
        <f t="shared" si="685"/>
        <v>0</v>
      </c>
      <c r="Q650" s="439">
        <f t="shared" si="685"/>
        <v>0</v>
      </c>
      <c r="R650" s="439">
        <f t="shared" si="686"/>
        <v>0</v>
      </c>
      <c r="S650" s="439">
        <f t="shared" si="686"/>
        <v>0</v>
      </c>
      <c r="T650" s="439">
        <f t="shared" si="686"/>
        <v>0</v>
      </c>
      <c r="U650" s="440">
        <f t="shared" si="687"/>
        <v>0</v>
      </c>
      <c r="V650" s="439">
        <f t="shared" si="687"/>
        <v>0</v>
      </c>
      <c r="W650" s="439">
        <f t="shared" si="688"/>
        <v>0</v>
      </c>
      <c r="X650" s="439">
        <f t="shared" si="688"/>
        <v>0</v>
      </c>
      <c r="Y650" s="439">
        <f t="shared" si="688"/>
        <v>0</v>
      </c>
      <c r="Z650" s="440">
        <f t="shared" si="689"/>
        <v>0</v>
      </c>
      <c r="AA650" s="439">
        <f t="shared" si="689"/>
        <v>0</v>
      </c>
      <c r="AB650" s="439">
        <f t="shared" si="690"/>
        <v>-36.856999999999999</v>
      </c>
      <c r="AC650" s="439">
        <f t="shared" si="690"/>
        <v>36.856999999999999</v>
      </c>
      <c r="AD650" s="439">
        <f t="shared" si="690"/>
        <v>0</v>
      </c>
      <c r="AE650" s="440">
        <f t="shared" si="691"/>
        <v>0</v>
      </c>
      <c r="AF650" s="439">
        <f t="shared" si="691"/>
        <v>0</v>
      </c>
      <c r="AG650" s="439">
        <f t="shared" si="692"/>
        <v>0</v>
      </c>
      <c r="AH650" s="439">
        <f t="shared" si="692"/>
        <v>0</v>
      </c>
      <c r="AI650" s="439">
        <f t="shared" si="692"/>
        <v>0</v>
      </c>
      <c r="AJ650" s="440">
        <f t="shared" si="693"/>
        <v>0</v>
      </c>
      <c r="AK650" s="439">
        <f t="shared" si="693"/>
        <v>0</v>
      </c>
      <c r="AL650" s="439">
        <f t="shared" si="694"/>
        <v>0</v>
      </c>
      <c r="AM650" s="439">
        <f t="shared" si="694"/>
        <v>0</v>
      </c>
      <c r="AN650" s="439">
        <f t="shared" si="694"/>
        <v>0</v>
      </c>
      <c r="AO650" s="440">
        <f t="shared" si="695"/>
        <v>0</v>
      </c>
      <c r="AP650" s="439">
        <f t="shared" si="695"/>
        <v>0</v>
      </c>
      <c r="AQ650" s="439">
        <f t="shared" si="696"/>
        <v>0</v>
      </c>
      <c r="AR650" s="439">
        <f t="shared" si="696"/>
        <v>0</v>
      </c>
      <c r="AS650" s="439">
        <f t="shared" si="696"/>
        <v>0</v>
      </c>
      <c r="AT650" s="440">
        <f t="shared" si="697"/>
        <v>0</v>
      </c>
      <c r="AU650" s="439">
        <f t="shared" si="697"/>
        <v>0</v>
      </c>
      <c r="AV650" s="439">
        <f t="shared" si="698"/>
        <v>0</v>
      </c>
      <c r="AW650" s="726">
        <f t="shared" si="698"/>
        <v>0</v>
      </c>
      <c r="AX650" s="439"/>
      <c r="AY650" s="440">
        <f t="shared" si="699"/>
        <v>0</v>
      </c>
      <c r="AZ650" s="439"/>
      <c r="BA650" s="439"/>
      <c r="BB650" s="439"/>
      <c r="BC650" s="439"/>
      <c r="BD650" s="440">
        <f t="shared" si="700"/>
        <v>0</v>
      </c>
      <c r="BE650" s="440"/>
      <c r="BF650" s="440"/>
      <c r="BG650" s="440"/>
      <c r="BH650" s="361"/>
    </row>
    <row r="651" spans="1:60" s="356" customFormat="1" x14ac:dyDescent="0.25">
      <c r="A651" s="526" t="str">
        <f t="shared" si="680"/>
        <v>Purchase of convertible note hedges</v>
      </c>
      <c r="B651" s="439"/>
      <c r="C651" s="440">
        <f t="shared" si="702"/>
        <v>0</v>
      </c>
      <c r="D651" s="440">
        <f t="shared" si="702"/>
        <v>0</v>
      </c>
      <c r="E651" s="440">
        <f t="shared" si="702"/>
        <v>0</v>
      </c>
      <c r="F651" s="440">
        <f t="shared" si="702"/>
        <v>0</v>
      </c>
      <c r="G651" s="439">
        <f t="shared" si="702"/>
        <v>0</v>
      </c>
      <c r="H651" s="439">
        <f t="shared" si="682"/>
        <v>-177.54</v>
      </c>
      <c r="I651" s="439">
        <f t="shared" si="682"/>
        <v>0</v>
      </c>
      <c r="J651" s="439">
        <f t="shared" si="682"/>
        <v>0</v>
      </c>
      <c r="K651" s="440">
        <f t="shared" si="683"/>
        <v>-177.54</v>
      </c>
      <c r="L651" s="439">
        <f t="shared" si="683"/>
        <v>-524.72</v>
      </c>
      <c r="M651" s="439">
        <f t="shared" si="684"/>
        <v>-78.70799999999997</v>
      </c>
      <c r="N651" s="439">
        <f t="shared" si="684"/>
        <v>0</v>
      </c>
      <c r="O651" s="439">
        <f t="shared" si="684"/>
        <v>0</v>
      </c>
      <c r="P651" s="440">
        <f t="shared" si="685"/>
        <v>-603.428</v>
      </c>
      <c r="Q651" s="439">
        <f t="shared" si="685"/>
        <v>0</v>
      </c>
      <c r="R651" s="439">
        <f t="shared" si="686"/>
        <v>0</v>
      </c>
      <c r="S651" s="439">
        <f t="shared" si="686"/>
        <v>0</v>
      </c>
      <c r="T651" s="439">
        <f t="shared" si="686"/>
        <v>0</v>
      </c>
      <c r="U651" s="440">
        <f t="shared" si="687"/>
        <v>0</v>
      </c>
      <c r="V651" s="439">
        <f t="shared" si="687"/>
        <v>0</v>
      </c>
      <c r="W651" s="439">
        <f t="shared" si="688"/>
        <v>0</v>
      </c>
      <c r="X651" s="439">
        <f t="shared" si="688"/>
        <v>0</v>
      </c>
      <c r="Y651" s="439">
        <f t="shared" si="688"/>
        <v>0</v>
      </c>
      <c r="Z651" s="440">
        <f t="shared" si="689"/>
        <v>0</v>
      </c>
      <c r="AA651" s="439">
        <f t="shared" si="689"/>
        <v>-204.102</v>
      </c>
      <c r="AB651" s="439">
        <f t="shared" si="690"/>
        <v>0</v>
      </c>
      <c r="AC651" s="439">
        <f t="shared" si="690"/>
        <v>0</v>
      </c>
      <c r="AD651" s="439">
        <f t="shared" si="690"/>
        <v>0</v>
      </c>
      <c r="AE651" s="440">
        <f t="shared" si="691"/>
        <v>-204.102</v>
      </c>
      <c r="AF651" s="439">
        <f t="shared" si="691"/>
        <v>0</v>
      </c>
      <c r="AG651" s="439">
        <f t="shared" si="692"/>
        <v>0</v>
      </c>
      <c r="AH651" s="439">
        <f t="shared" si="692"/>
        <v>0</v>
      </c>
      <c r="AI651" s="439">
        <f t="shared" si="692"/>
        <v>0</v>
      </c>
      <c r="AJ651" s="440">
        <f t="shared" si="693"/>
        <v>0</v>
      </c>
      <c r="AK651" s="439">
        <f t="shared" si="693"/>
        <v>0</v>
      </c>
      <c r="AL651" s="439">
        <f t="shared" si="694"/>
        <v>-475.82400000000001</v>
      </c>
      <c r="AM651" s="439">
        <f t="shared" si="694"/>
        <v>-0.17599999999998772</v>
      </c>
      <c r="AN651" s="439">
        <f t="shared" si="694"/>
        <v>0</v>
      </c>
      <c r="AO651" s="440">
        <f t="shared" si="695"/>
        <v>-476</v>
      </c>
      <c r="AP651" s="439">
        <f t="shared" si="695"/>
        <v>0</v>
      </c>
      <c r="AQ651" s="439">
        <f t="shared" si="696"/>
        <v>0</v>
      </c>
      <c r="AR651" s="439">
        <f t="shared" si="696"/>
        <v>0</v>
      </c>
      <c r="AS651" s="439">
        <f t="shared" si="696"/>
        <v>0</v>
      </c>
      <c r="AT651" s="440">
        <f t="shared" si="697"/>
        <v>0</v>
      </c>
      <c r="AU651" s="439">
        <f t="shared" si="697"/>
        <v>0</v>
      </c>
      <c r="AV651" s="439">
        <f t="shared" si="698"/>
        <v>0</v>
      </c>
      <c r="AW651" s="726">
        <f t="shared" si="698"/>
        <v>0</v>
      </c>
      <c r="AX651" s="439"/>
      <c r="AY651" s="440">
        <f t="shared" si="699"/>
        <v>0</v>
      </c>
      <c r="AZ651" s="439"/>
      <c r="BA651" s="439"/>
      <c r="BB651" s="439"/>
      <c r="BC651" s="439"/>
      <c r="BD651" s="440">
        <f t="shared" si="700"/>
        <v>0</v>
      </c>
      <c r="BE651" s="440"/>
      <c r="BF651" s="440"/>
      <c r="BG651" s="440"/>
      <c r="BH651" s="361"/>
    </row>
    <row r="652" spans="1:60" s="356" customFormat="1" x14ac:dyDescent="0.25">
      <c r="A652" s="526" t="str">
        <f t="shared" si="680"/>
        <v>Repurchases of common stock</v>
      </c>
      <c r="B652" s="439"/>
      <c r="C652" s="440">
        <f t="shared" si="702"/>
        <v>0</v>
      </c>
      <c r="D652" s="440">
        <f t="shared" si="702"/>
        <v>0</v>
      </c>
      <c r="E652" s="440">
        <f t="shared" si="702"/>
        <v>0</v>
      </c>
      <c r="F652" s="440">
        <f t="shared" si="702"/>
        <v>0</v>
      </c>
      <c r="G652" s="439">
        <f t="shared" si="702"/>
        <v>0</v>
      </c>
      <c r="H652" s="439">
        <f t="shared" si="682"/>
        <v>0</v>
      </c>
      <c r="I652" s="439">
        <f t="shared" si="682"/>
        <v>0</v>
      </c>
      <c r="J652" s="439">
        <f t="shared" si="682"/>
        <v>0</v>
      </c>
      <c r="K652" s="440">
        <f t="shared" si="683"/>
        <v>0</v>
      </c>
      <c r="L652" s="439">
        <f t="shared" si="683"/>
        <v>0</v>
      </c>
      <c r="M652" s="439">
        <f t="shared" si="684"/>
        <v>0</v>
      </c>
      <c r="N652" s="439">
        <f t="shared" si="684"/>
        <v>0</v>
      </c>
      <c r="O652" s="439">
        <f t="shared" si="684"/>
        <v>0</v>
      </c>
      <c r="P652" s="440">
        <f t="shared" si="685"/>
        <v>0</v>
      </c>
      <c r="Q652" s="439">
        <f t="shared" si="685"/>
        <v>0</v>
      </c>
      <c r="R652" s="439">
        <f t="shared" si="686"/>
        <v>0</v>
      </c>
      <c r="S652" s="439">
        <f t="shared" si="686"/>
        <v>0</v>
      </c>
      <c r="T652" s="439">
        <f t="shared" si="686"/>
        <v>0</v>
      </c>
      <c r="U652" s="440">
        <f t="shared" si="687"/>
        <v>0</v>
      </c>
      <c r="V652" s="439">
        <f t="shared" si="687"/>
        <v>0</v>
      </c>
      <c r="W652" s="439">
        <f t="shared" si="688"/>
        <v>0</v>
      </c>
      <c r="X652" s="439">
        <f t="shared" si="688"/>
        <v>0</v>
      </c>
      <c r="Y652" s="439">
        <f t="shared" si="688"/>
        <v>0</v>
      </c>
      <c r="Z652" s="440">
        <f t="shared" si="689"/>
        <v>0</v>
      </c>
      <c r="AA652" s="439">
        <f t="shared" si="689"/>
        <v>0</v>
      </c>
      <c r="AB652" s="439">
        <f t="shared" si="690"/>
        <v>0</v>
      </c>
      <c r="AC652" s="439">
        <f t="shared" si="690"/>
        <v>0</v>
      </c>
      <c r="AD652" s="439">
        <f t="shared" si="690"/>
        <v>0</v>
      </c>
      <c r="AE652" s="440">
        <f t="shared" si="691"/>
        <v>0</v>
      </c>
      <c r="AF652" s="439">
        <f t="shared" si="691"/>
        <v>0</v>
      </c>
      <c r="AG652" s="439">
        <f t="shared" si="692"/>
        <v>0</v>
      </c>
      <c r="AH652" s="439">
        <f t="shared" si="692"/>
        <v>0</v>
      </c>
      <c r="AI652" s="439">
        <f t="shared" si="692"/>
        <v>0</v>
      </c>
      <c r="AJ652" s="440">
        <f t="shared" si="693"/>
        <v>0</v>
      </c>
      <c r="AK652" s="439">
        <f t="shared" si="693"/>
        <v>0</v>
      </c>
      <c r="AL652" s="439">
        <f t="shared" si="694"/>
        <v>0</v>
      </c>
      <c r="AM652" s="439">
        <f t="shared" si="694"/>
        <v>0</v>
      </c>
      <c r="AN652" s="439">
        <f t="shared" si="694"/>
        <v>0</v>
      </c>
      <c r="AO652" s="440">
        <f t="shared" si="695"/>
        <v>0</v>
      </c>
      <c r="AP652" s="439">
        <f t="shared" si="695"/>
        <v>0</v>
      </c>
      <c r="AQ652" s="361">
        <f t="shared" si="696"/>
        <v>0</v>
      </c>
      <c r="AR652" s="439">
        <f t="shared" si="696"/>
        <v>0</v>
      </c>
      <c r="AS652" s="439">
        <f t="shared" si="696"/>
        <v>0</v>
      </c>
      <c r="AT652" s="440">
        <f t="shared" si="697"/>
        <v>0</v>
      </c>
      <c r="AU652" s="361">
        <f t="shared" si="697"/>
        <v>0</v>
      </c>
      <c r="AV652" s="361">
        <f t="shared" si="698"/>
        <v>0</v>
      </c>
      <c r="AW652" s="726">
        <f t="shared" si="698"/>
        <v>0</v>
      </c>
      <c r="AX652" s="439">
        <f>AX443</f>
        <v>0</v>
      </c>
      <c r="AY652" s="440">
        <f t="shared" si="699"/>
        <v>0</v>
      </c>
      <c r="AZ652" s="439">
        <f>AZ443</f>
        <v>0</v>
      </c>
      <c r="BA652" s="439">
        <f>BA443</f>
        <v>0</v>
      </c>
      <c r="BB652" s="439">
        <f>BB443</f>
        <v>0</v>
      </c>
      <c r="BC652" s="439">
        <f>BC443</f>
        <v>0</v>
      </c>
      <c r="BD652" s="440">
        <f t="shared" si="700"/>
        <v>0</v>
      </c>
      <c r="BE652" s="440">
        <f>BE443</f>
        <v>0</v>
      </c>
      <c r="BF652" s="440">
        <f>BF443</f>
        <v>0</v>
      </c>
      <c r="BG652" s="440">
        <f>BG443</f>
        <v>0</v>
      </c>
      <c r="BH652" s="361"/>
    </row>
    <row r="653" spans="1:60" s="356" customFormat="1" x14ac:dyDescent="0.25">
      <c r="A653" s="526" t="str">
        <f t="shared" si="680"/>
        <v>Common stock and convertible debt issuance costs</v>
      </c>
      <c r="B653" s="439"/>
      <c r="C653" s="440">
        <f t="shared" si="702"/>
        <v>-2.0459999999999998</v>
      </c>
      <c r="D653" s="440">
        <f t="shared" si="702"/>
        <v>-3.734</v>
      </c>
      <c r="E653" s="440">
        <f t="shared" si="702"/>
        <v>0</v>
      </c>
      <c r="F653" s="440">
        <f t="shared" si="702"/>
        <v>0</v>
      </c>
      <c r="G653" s="439">
        <f t="shared" si="702"/>
        <v>0</v>
      </c>
      <c r="H653" s="439">
        <f t="shared" si="682"/>
        <v>-16.207000000000001</v>
      </c>
      <c r="I653" s="439">
        <f t="shared" si="682"/>
        <v>-0.16699999999999804</v>
      </c>
      <c r="J653" s="439">
        <f t="shared" si="682"/>
        <v>-0.52700000000000102</v>
      </c>
      <c r="K653" s="440">
        <f t="shared" si="683"/>
        <v>-16.901</v>
      </c>
      <c r="L653" s="439">
        <f t="shared" si="683"/>
        <v>-30.302</v>
      </c>
      <c r="M653" s="439">
        <f t="shared" si="684"/>
        <v>-4.847999999999999</v>
      </c>
      <c r="N653" s="439">
        <f t="shared" si="684"/>
        <v>0</v>
      </c>
      <c r="O653" s="439">
        <f t="shared" si="684"/>
        <v>9.9999999999766942E-4</v>
      </c>
      <c r="P653" s="440">
        <f t="shared" si="685"/>
        <v>-35.149000000000001</v>
      </c>
      <c r="Q653" s="439">
        <f t="shared" si="685"/>
        <v>-0.95799999999999996</v>
      </c>
      <c r="R653" s="439">
        <f t="shared" si="686"/>
        <v>-4.2859999999999996</v>
      </c>
      <c r="S653" s="439">
        <f t="shared" si="686"/>
        <v>-11.314</v>
      </c>
      <c r="T653" s="439">
        <f t="shared" si="686"/>
        <v>-0.46699999999999875</v>
      </c>
      <c r="U653" s="440">
        <f t="shared" si="687"/>
        <v>-17.024999999999999</v>
      </c>
      <c r="V653" s="439">
        <f t="shared" si="687"/>
        <v>-1.038</v>
      </c>
      <c r="W653" s="439">
        <f t="shared" si="688"/>
        <v>-14.727</v>
      </c>
      <c r="X653" s="439">
        <f t="shared" si="688"/>
        <v>-2.3069999999999986</v>
      </c>
      <c r="Y653" s="439">
        <f t="shared" si="688"/>
        <v>-1.9700000000000024</v>
      </c>
      <c r="Z653" s="440">
        <f t="shared" si="689"/>
        <v>-20.042000000000002</v>
      </c>
      <c r="AA653" s="439">
        <f t="shared" si="689"/>
        <v>-11.093999999999999</v>
      </c>
      <c r="AB653" s="439">
        <f t="shared" si="690"/>
        <v>-2.5940000000000012</v>
      </c>
      <c r="AC653" s="439">
        <f t="shared" si="690"/>
        <v>-36.841999999999999</v>
      </c>
      <c r="AD653" s="439">
        <f t="shared" si="690"/>
        <v>-12.580999999999996</v>
      </c>
      <c r="AE653" s="440">
        <f t="shared" si="691"/>
        <v>-63.110999999999997</v>
      </c>
      <c r="AF653" s="439">
        <f t="shared" si="691"/>
        <v>-2.9129999999999998</v>
      </c>
      <c r="AG653" s="439">
        <f t="shared" si="692"/>
        <v>-0.75800000000000001</v>
      </c>
      <c r="AH653" s="439">
        <f t="shared" si="692"/>
        <v>-1.4500000000000006</v>
      </c>
      <c r="AI653" s="439">
        <f t="shared" si="692"/>
        <v>-9.8520000000000003</v>
      </c>
      <c r="AJ653" s="440">
        <f t="shared" si="693"/>
        <v>-14.973000000000001</v>
      </c>
      <c r="AK653" s="439">
        <f t="shared" si="693"/>
        <v>-7.7569999999999997</v>
      </c>
      <c r="AL653" s="439">
        <f t="shared" si="694"/>
        <v>-22.619</v>
      </c>
      <c r="AM653" s="439">
        <f t="shared" si="694"/>
        <v>-1.6239999999999988</v>
      </c>
      <c r="AN653" s="439">
        <f t="shared" si="694"/>
        <v>-5</v>
      </c>
      <c r="AO653" s="440">
        <f t="shared" si="695"/>
        <v>-37</v>
      </c>
      <c r="AP653" s="439">
        <f t="shared" si="695"/>
        <v>0</v>
      </c>
      <c r="AQ653" s="439">
        <f t="shared" si="696"/>
        <v>0</v>
      </c>
      <c r="AR653" s="439">
        <f t="shared" si="696"/>
        <v>-6</v>
      </c>
      <c r="AS653" s="439">
        <f t="shared" si="696"/>
        <v>0</v>
      </c>
      <c r="AT653" s="440">
        <f t="shared" si="697"/>
        <v>-6</v>
      </c>
      <c r="AU653" s="439">
        <f t="shared" si="697"/>
        <v>0</v>
      </c>
      <c r="AV653" s="439">
        <f t="shared" si="698"/>
        <v>0</v>
      </c>
      <c r="AW653" s="726">
        <f t="shared" si="698"/>
        <v>-9</v>
      </c>
      <c r="AX653" s="439"/>
      <c r="AY653" s="440">
        <f t="shared" si="699"/>
        <v>-9</v>
      </c>
      <c r="AZ653" s="439"/>
      <c r="BA653" s="439"/>
      <c r="BB653" s="439"/>
      <c r="BC653" s="439"/>
      <c r="BD653" s="440">
        <f t="shared" si="700"/>
        <v>0</v>
      </c>
      <c r="BE653" s="440"/>
      <c r="BF653" s="440"/>
      <c r="BG653" s="440"/>
      <c r="BH653" s="361"/>
    </row>
    <row r="654" spans="1:60" s="356" customFormat="1" x14ac:dyDescent="0.25">
      <c r="A654" s="526" t="str">
        <f t="shared" si="680"/>
        <v>Principal payments on capital leases and other debt</v>
      </c>
      <c r="B654" s="439"/>
      <c r="C654" s="440">
        <f t="shared" ref="C654:G660" si="703">C564</f>
        <v>-0.32200000000000001</v>
      </c>
      <c r="D654" s="440">
        <f t="shared" si="703"/>
        <v>-0.315</v>
      </c>
      <c r="E654" s="440">
        <f t="shared" si="703"/>
        <v>-0.41599999999999998</v>
      </c>
      <c r="F654" s="440">
        <f t="shared" si="703"/>
        <v>-2.8319999999999999</v>
      </c>
      <c r="G654" s="439">
        <f t="shared" si="703"/>
        <v>-14.218999999999999</v>
      </c>
      <c r="H654" s="439">
        <f t="shared" si="682"/>
        <v>10.584999999999999</v>
      </c>
      <c r="I654" s="439">
        <f t="shared" si="682"/>
        <v>-2.746</v>
      </c>
      <c r="J654" s="439">
        <f t="shared" si="682"/>
        <v>-2.0450000000000008</v>
      </c>
      <c r="K654" s="440">
        <f t="shared" si="683"/>
        <v>-8.4250000000000007</v>
      </c>
      <c r="L654" s="439">
        <f t="shared" si="683"/>
        <v>-2.5449999999999999</v>
      </c>
      <c r="M654" s="439">
        <f t="shared" si="684"/>
        <v>-3.101</v>
      </c>
      <c r="N654" s="439">
        <f t="shared" si="684"/>
        <v>-3.056</v>
      </c>
      <c r="O654" s="439">
        <f t="shared" si="684"/>
        <v>-2.4770000000000003</v>
      </c>
      <c r="P654" s="440">
        <f t="shared" si="685"/>
        <v>-11.179</v>
      </c>
      <c r="Q654" s="439">
        <f t="shared" si="685"/>
        <v>-3.726</v>
      </c>
      <c r="R654" s="439">
        <f t="shared" si="686"/>
        <v>-10.175000000000001</v>
      </c>
      <c r="S654" s="439">
        <f t="shared" si="686"/>
        <v>-59.00500000000001</v>
      </c>
      <c r="T654" s="439">
        <f t="shared" si="686"/>
        <v>-130.874</v>
      </c>
      <c r="U654" s="440">
        <f t="shared" si="687"/>
        <v>-203.78</v>
      </c>
      <c r="V654" s="439">
        <f t="shared" si="687"/>
        <v>-8.1280000000000001</v>
      </c>
      <c r="W654" s="439">
        <f t="shared" si="688"/>
        <v>-10.141999999999999</v>
      </c>
      <c r="X654" s="439">
        <f t="shared" si="688"/>
        <v>-12.177</v>
      </c>
      <c r="Y654" s="439">
        <f t="shared" si="688"/>
        <v>-16.442000000000004</v>
      </c>
      <c r="Z654" s="440">
        <f t="shared" si="689"/>
        <v>-46.889000000000003</v>
      </c>
      <c r="AA654" s="439">
        <f t="shared" si="689"/>
        <v>-18.303000000000001</v>
      </c>
      <c r="AB654" s="439">
        <f t="shared" si="690"/>
        <v>18.303000000000001</v>
      </c>
      <c r="AC654" s="439">
        <f t="shared" si="690"/>
        <v>-69.495999999999995</v>
      </c>
      <c r="AD654" s="439">
        <f t="shared" si="690"/>
        <v>-33.808000000000007</v>
      </c>
      <c r="AE654" s="440">
        <f t="shared" si="691"/>
        <v>-103.304</v>
      </c>
      <c r="AF654" s="439">
        <f t="shared" si="691"/>
        <v>-18.786999999999999</v>
      </c>
      <c r="AG654" s="439">
        <f t="shared" si="692"/>
        <v>-29.395000000000003</v>
      </c>
      <c r="AH654" s="439">
        <f t="shared" si="692"/>
        <v>-57.685000000000002</v>
      </c>
      <c r="AI654" s="439">
        <f t="shared" si="692"/>
        <v>-74.938000000000002</v>
      </c>
      <c r="AJ654" s="440">
        <f t="shared" si="693"/>
        <v>-180.80500000000001</v>
      </c>
      <c r="AK654" s="439">
        <f t="shared" si="693"/>
        <v>-66.656000000000006</v>
      </c>
      <c r="AL654" s="439">
        <f t="shared" si="694"/>
        <v>-75.914999999999992</v>
      </c>
      <c r="AM654" s="439">
        <f t="shared" si="694"/>
        <v>-80.429000000000002</v>
      </c>
      <c r="AN654" s="439">
        <f t="shared" si="694"/>
        <v>-98</v>
      </c>
      <c r="AO654" s="440">
        <f t="shared" si="695"/>
        <v>-321</v>
      </c>
      <c r="AP654" s="439">
        <f t="shared" si="695"/>
        <v>-100</v>
      </c>
      <c r="AQ654" s="439">
        <f t="shared" si="696"/>
        <v>-54</v>
      </c>
      <c r="AR654" s="439">
        <f t="shared" si="696"/>
        <v>-94</v>
      </c>
      <c r="AS654" s="439">
        <f t="shared" si="696"/>
        <v>-90</v>
      </c>
      <c r="AT654" s="440">
        <f t="shared" si="697"/>
        <v>-338</v>
      </c>
      <c r="AU654" s="439">
        <f t="shared" si="697"/>
        <v>-101</v>
      </c>
      <c r="AV654" s="439">
        <f t="shared" si="698"/>
        <v>-95</v>
      </c>
      <c r="AW654" s="726">
        <f t="shared" si="698"/>
        <v>-115</v>
      </c>
      <c r="AX654" s="439"/>
      <c r="AY654" s="440">
        <f t="shared" si="699"/>
        <v>-311</v>
      </c>
      <c r="AZ654" s="439"/>
      <c r="BA654" s="439"/>
      <c r="BB654" s="439"/>
      <c r="BC654" s="439"/>
      <c r="BD654" s="440">
        <f t="shared" si="700"/>
        <v>0</v>
      </c>
      <c r="BE654" s="440"/>
      <c r="BF654" s="440"/>
      <c r="BG654" s="440"/>
      <c r="BH654" s="361"/>
    </row>
    <row r="655" spans="1:60" s="356" customFormat="1" x14ac:dyDescent="0.25">
      <c r="A655" s="526" t="str">
        <f t="shared" si="680"/>
        <v>Debt issuance costs</v>
      </c>
      <c r="B655" s="439"/>
      <c r="C655" s="440">
        <f t="shared" si="703"/>
        <v>0</v>
      </c>
      <c r="D655" s="440">
        <f t="shared" si="703"/>
        <v>0</v>
      </c>
      <c r="E655" s="440">
        <f t="shared" si="703"/>
        <v>0</v>
      </c>
      <c r="F655" s="440">
        <f t="shared" si="703"/>
        <v>0</v>
      </c>
      <c r="G655" s="439">
        <f t="shared" si="703"/>
        <v>0</v>
      </c>
      <c r="H655" s="439">
        <f t="shared" si="682"/>
        <v>0</v>
      </c>
      <c r="I655" s="439">
        <f t="shared" si="682"/>
        <v>0</v>
      </c>
      <c r="J655" s="439">
        <f t="shared" si="682"/>
        <v>0</v>
      </c>
      <c r="K655" s="440">
        <f t="shared" si="683"/>
        <v>0</v>
      </c>
      <c r="L655" s="439">
        <f t="shared" si="683"/>
        <v>0</v>
      </c>
      <c r="M655" s="439">
        <f t="shared" si="684"/>
        <v>0</v>
      </c>
      <c r="N655" s="439">
        <f t="shared" si="684"/>
        <v>0</v>
      </c>
      <c r="O655" s="439">
        <f t="shared" si="684"/>
        <v>0</v>
      </c>
      <c r="P655" s="440">
        <f t="shared" si="685"/>
        <v>0</v>
      </c>
      <c r="Q655" s="439">
        <f t="shared" si="685"/>
        <v>0</v>
      </c>
      <c r="R655" s="439">
        <f t="shared" si="686"/>
        <v>0</v>
      </c>
      <c r="S655" s="439">
        <f t="shared" si="686"/>
        <v>0</v>
      </c>
      <c r="T655" s="439">
        <f t="shared" si="686"/>
        <v>0</v>
      </c>
      <c r="U655" s="440">
        <f t="shared" si="687"/>
        <v>0</v>
      </c>
      <c r="V655" s="439">
        <f t="shared" si="687"/>
        <v>0</v>
      </c>
      <c r="W655" s="439">
        <f t="shared" si="688"/>
        <v>0</v>
      </c>
      <c r="X655" s="439">
        <f t="shared" si="688"/>
        <v>0</v>
      </c>
      <c r="Y655" s="439">
        <f t="shared" si="688"/>
        <v>0</v>
      </c>
      <c r="Z655" s="440">
        <f t="shared" si="689"/>
        <v>0</v>
      </c>
      <c r="AA655" s="439">
        <f t="shared" si="689"/>
        <v>0</v>
      </c>
      <c r="AB655" s="439">
        <f t="shared" si="690"/>
        <v>0</v>
      </c>
      <c r="AC655" s="439">
        <f t="shared" si="690"/>
        <v>0</v>
      </c>
      <c r="AD655" s="439">
        <f t="shared" si="690"/>
        <v>0</v>
      </c>
      <c r="AE655" s="440">
        <f t="shared" si="691"/>
        <v>0</v>
      </c>
      <c r="AF655" s="439">
        <f t="shared" si="691"/>
        <v>0</v>
      </c>
      <c r="AG655" s="439">
        <f t="shared" si="692"/>
        <v>0</v>
      </c>
      <c r="AH655" s="439">
        <f t="shared" si="692"/>
        <v>0</v>
      </c>
      <c r="AI655" s="439">
        <f t="shared" si="692"/>
        <v>0</v>
      </c>
      <c r="AJ655" s="440">
        <f t="shared" si="693"/>
        <v>0</v>
      </c>
      <c r="AK655" s="439">
        <f t="shared" si="693"/>
        <v>0</v>
      </c>
      <c r="AL655" s="439">
        <f t="shared" si="694"/>
        <v>0</v>
      </c>
      <c r="AM655" s="439">
        <f t="shared" si="694"/>
        <v>0</v>
      </c>
      <c r="AN655" s="439">
        <f t="shared" si="694"/>
        <v>0</v>
      </c>
      <c r="AO655" s="440">
        <f t="shared" si="695"/>
        <v>0</v>
      </c>
      <c r="AP655" s="439">
        <f t="shared" si="695"/>
        <v>0</v>
      </c>
      <c r="AQ655" s="439">
        <f t="shared" si="696"/>
        <v>0</v>
      </c>
      <c r="AR655" s="439">
        <f t="shared" si="696"/>
        <v>0</v>
      </c>
      <c r="AS655" s="439">
        <f t="shared" si="696"/>
        <v>0</v>
      </c>
      <c r="AT655" s="440">
        <f t="shared" si="697"/>
        <v>0</v>
      </c>
      <c r="AU655" s="439">
        <f t="shared" si="697"/>
        <v>-5</v>
      </c>
      <c r="AV655" s="439">
        <f t="shared" si="698"/>
        <v>0</v>
      </c>
      <c r="AW655" s="726">
        <f t="shared" si="698"/>
        <v>5</v>
      </c>
      <c r="AX655" s="439"/>
      <c r="AY655" s="440">
        <f t="shared" si="699"/>
        <v>0</v>
      </c>
      <c r="AZ655" s="439"/>
      <c r="BA655" s="439"/>
      <c r="BB655" s="439"/>
      <c r="BC655" s="439"/>
      <c r="BD655" s="440">
        <f t="shared" si="700"/>
        <v>0</v>
      </c>
      <c r="BE655" s="440"/>
      <c r="BF655" s="440"/>
      <c r="BG655" s="440"/>
      <c r="BH655" s="361"/>
    </row>
    <row r="656" spans="1:60" s="356" customFormat="1" x14ac:dyDescent="0.25">
      <c r="A656" s="526" t="str">
        <f t="shared" si="680"/>
        <v>Dividends paid</v>
      </c>
      <c r="B656" s="439"/>
      <c r="C656" s="440">
        <f t="shared" si="703"/>
        <v>0</v>
      </c>
      <c r="D656" s="440">
        <f t="shared" si="703"/>
        <v>0</v>
      </c>
      <c r="E656" s="440">
        <f t="shared" si="703"/>
        <v>0</v>
      </c>
      <c r="F656" s="440">
        <f t="shared" si="703"/>
        <v>0</v>
      </c>
      <c r="G656" s="439">
        <f t="shared" si="703"/>
        <v>0</v>
      </c>
      <c r="H656" s="439">
        <f t="shared" si="682"/>
        <v>0</v>
      </c>
      <c r="I656" s="439">
        <f t="shared" si="682"/>
        <v>0</v>
      </c>
      <c r="J656" s="439">
        <f t="shared" si="682"/>
        <v>0</v>
      </c>
      <c r="K656" s="440">
        <f t="shared" si="683"/>
        <v>0</v>
      </c>
      <c r="L656" s="439">
        <f t="shared" si="683"/>
        <v>0</v>
      </c>
      <c r="M656" s="439">
        <f t="shared" si="684"/>
        <v>0</v>
      </c>
      <c r="N656" s="439">
        <f t="shared" si="684"/>
        <v>0</v>
      </c>
      <c r="O656" s="439">
        <f t="shared" si="684"/>
        <v>0</v>
      </c>
      <c r="P656" s="440">
        <f t="shared" si="685"/>
        <v>0</v>
      </c>
      <c r="Q656" s="439">
        <f t="shared" si="685"/>
        <v>0</v>
      </c>
      <c r="R656" s="439">
        <f t="shared" si="686"/>
        <v>0</v>
      </c>
      <c r="S656" s="439">
        <f t="shared" si="686"/>
        <v>0</v>
      </c>
      <c r="T656" s="439">
        <f t="shared" si="686"/>
        <v>0</v>
      </c>
      <c r="U656" s="440">
        <f t="shared" si="687"/>
        <v>0</v>
      </c>
      <c r="V656" s="439">
        <f t="shared" si="687"/>
        <v>0</v>
      </c>
      <c r="W656" s="439">
        <f t="shared" si="688"/>
        <v>0</v>
      </c>
      <c r="X656" s="439">
        <f t="shared" si="688"/>
        <v>0</v>
      </c>
      <c r="Y656" s="439">
        <f t="shared" si="688"/>
        <v>0</v>
      </c>
      <c r="Z656" s="440">
        <f t="shared" si="689"/>
        <v>0</v>
      </c>
      <c r="AA656" s="439">
        <f t="shared" si="689"/>
        <v>0</v>
      </c>
      <c r="AB656" s="439">
        <f t="shared" si="690"/>
        <v>0</v>
      </c>
      <c r="AC656" s="439">
        <f t="shared" si="690"/>
        <v>0</v>
      </c>
      <c r="AD656" s="439">
        <f t="shared" si="690"/>
        <v>0</v>
      </c>
      <c r="AE656" s="440">
        <f t="shared" si="691"/>
        <v>0</v>
      </c>
      <c r="AF656" s="439">
        <f t="shared" si="691"/>
        <v>0</v>
      </c>
      <c r="AG656" s="439">
        <f t="shared" si="692"/>
        <v>0</v>
      </c>
      <c r="AH656" s="439">
        <f t="shared" si="692"/>
        <v>0</v>
      </c>
      <c r="AI656" s="439">
        <f t="shared" si="692"/>
        <v>0</v>
      </c>
      <c r="AJ656" s="440">
        <f t="shared" si="693"/>
        <v>0</v>
      </c>
      <c r="AK656" s="439">
        <f t="shared" si="693"/>
        <v>0</v>
      </c>
      <c r="AL656" s="439">
        <f t="shared" si="694"/>
        <v>0</v>
      </c>
      <c r="AM656" s="439">
        <f t="shared" si="694"/>
        <v>0</v>
      </c>
      <c r="AN656" s="439">
        <f t="shared" si="694"/>
        <v>0</v>
      </c>
      <c r="AO656" s="440">
        <f t="shared" si="695"/>
        <v>0</v>
      </c>
      <c r="AP656" s="439">
        <f t="shared" si="695"/>
        <v>0</v>
      </c>
      <c r="AQ656" s="361">
        <f t="shared" si="696"/>
        <v>0</v>
      </c>
      <c r="AR656" s="439">
        <f t="shared" si="696"/>
        <v>0</v>
      </c>
      <c r="AS656" s="439">
        <f t="shared" si="696"/>
        <v>0</v>
      </c>
      <c r="AT656" s="440">
        <f t="shared" si="697"/>
        <v>0</v>
      </c>
      <c r="AU656" s="361">
        <f t="shared" si="697"/>
        <v>0</v>
      </c>
      <c r="AV656" s="361">
        <f t="shared" si="698"/>
        <v>0</v>
      </c>
      <c r="AW656" s="726">
        <f t="shared" si="698"/>
        <v>0</v>
      </c>
      <c r="AX656" s="439">
        <f ca="1">AX439-AX659</f>
        <v>0</v>
      </c>
      <c r="AY656" s="440">
        <f t="shared" ca="1" si="699"/>
        <v>0</v>
      </c>
      <c r="AZ656" s="439">
        <f ca="1">AZ439-AZ659</f>
        <v>0</v>
      </c>
      <c r="BA656" s="439">
        <f ca="1">BA439-BA659</f>
        <v>0</v>
      </c>
      <c r="BB656" s="439">
        <f ca="1">BB439-BB659</f>
        <v>0</v>
      </c>
      <c r="BC656" s="439">
        <f ca="1">BC439-BC659</f>
        <v>0</v>
      </c>
      <c r="BD656" s="440">
        <f t="shared" ca="1" si="700"/>
        <v>0</v>
      </c>
      <c r="BE656" s="440">
        <f ca="1">BE439-BE659</f>
        <v>0</v>
      </c>
      <c r="BF656" s="440">
        <f ca="1">BF439-BF659</f>
        <v>0</v>
      </c>
      <c r="BG656" s="440">
        <f ca="1">BG439-BG659</f>
        <v>0</v>
      </c>
      <c r="BH656" s="361"/>
    </row>
    <row r="657" spans="1:60" s="356" customFormat="1" x14ac:dyDescent="0.25">
      <c r="A657" s="526" t="str">
        <f t="shared" si="680"/>
        <v>Proceeds from investment by NCI</v>
      </c>
      <c r="B657" s="439"/>
      <c r="C657" s="440">
        <f t="shared" si="703"/>
        <v>0</v>
      </c>
      <c r="D657" s="440">
        <f t="shared" si="703"/>
        <v>0</v>
      </c>
      <c r="E657" s="440">
        <f t="shared" si="703"/>
        <v>0</v>
      </c>
      <c r="F657" s="440">
        <f t="shared" si="703"/>
        <v>0</v>
      </c>
      <c r="G657" s="439">
        <f t="shared" si="703"/>
        <v>0</v>
      </c>
      <c r="H657" s="439">
        <f t="shared" si="682"/>
        <v>0</v>
      </c>
      <c r="I657" s="439">
        <f t="shared" si="682"/>
        <v>0</v>
      </c>
      <c r="J657" s="439">
        <f t="shared" si="682"/>
        <v>0</v>
      </c>
      <c r="K657" s="440">
        <f t="shared" si="683"/>
        <v>0</v>
      </c>
      <c r="L657" s="439">
        <f t="shared" si="683"/>
        <v>0</v>
      </c>
      <c r="M657" s="439">
        <f t="shared" si="684"/>
        <v>0</v>
      </c>
      <c r="N657" s="439">
        <f t="shared" si="684"/>
        <v>0</v>
      </c>
      <c r="O657" s="439">
        <f t="shared" si="684"/>
        <v>0</v>
      </c>
      <c r="P657" s="440">
        <f t="shared" si="685"/>
        <v>0</v>
      </c>
      <c r="Q657" s="439">
        <f t="shared" si="685"/>
        <v>0</v>
      </c>
      <c r="R657" s="439">
        <f t="shared" si="686"/>
        <v>0</v>
      </c>
      <c r="S657" s="439">
        <f t="shared" si="686"/>
        <v>0</v>
      </c>
      <c r="T657" s="439">
        <f t="shared" si="686"/>
        <v>0</v>
      </c>
      <c r="U657" s="440">
        <f t="shared" si="687"/>
        <v>0</v>
      </c>
      <c r="V657" s="439">
        <f t="shared" si="687"/>
        <v>0</v>
      </c>
      <c r="W657" s="439">
        <f t="shared" si="688"/>
        <v>0</v>
      </c>
      <c r="X657" s="439">
        <f t="shared" si="688"/>
        <v>0</v>
      </c>
      <c r="Y657" s="439">
        <f t="shared" si="688"/>
        <v>0</v>
      </c>
      <c r="Z657" s="440">
        <f t="shared" si="689"/>
        <v>0</v>
      </c>
      <c r="AA657" s="439">
        <f t="shared" si="689"/>
        <v>0</v>
      </c>
      <c r="AB657" s="439">
        <f t="shared" si="690"/>
        <v>583.43299999999999</v>
      </c>
      <c r="AC657" s="439">
        <f t="shared" si="690"/>
        <v>108.48500000000001</v>
      </c>
      <c r="AD657" s="439">
        <f t="shared" si="690"/>
        <v>-691.91800000000001</v>
      </c>
      <c r="AE657" s="440">
        <f t="shared" si="691"/>
        <v>0</v>
      </c>
      <c r="AF657" s="439">
        <f t="shared" si="691"/>
        <v>0</v>
      </c>
      <c r="AG657" s="439">
        <f t="shared" si="692"/>
        <v>253.03700000000001</v>
      </c>
      <c r="AH657" s="439">
        <f t="shared" si="692"/>
        <v>113.26000000000002</v>
      </c>
      <c r="AI657" s="439">
        <f t="shared" si="692"/>
        <v>70.836999999999989</v>
      </c>
      <c r="AJ657" s="440">
        <f t="shared" si="693"/>
        <v>437.13400000000001</v>
      </c>
      <c r="AK657" s="439">
        <f t="shared" si="693"/>
        <v>0</v>
      </c>
      <c r="AL657" s="439">
        <f t="shared" si="694"/>
        <v>88.866</v>
      </c>
      <c r="AM657" s="439">
        <f t="shared" si="694"/>
        <v>64.134</v>
      </c>
      <c r="AN657" s="439">
        <f t="shared" si="694"/>
        <v>126</v>
      </c>
      <c r="AO657" s="440">
        <f t="shared" si="695"/>
        <v>279</v>
      </c>
      <c r="AP657" s="439">
        <f t="shared" si="695"/>
        <v>19</v>
      </c>
      <c r="AQ657" s="439">
        <f t="shared" si="696"/>
        <v>0</v>
      </c>
      <c r="AR657" s="439">
        <f t="shared" si="696"/>
        <v>4</v>
      </c>
      <c r="AS657" s="439">
        <f t="shared" si="696"/>
        <v>1</v>
      </c>
      <c r="AT657" s="440">
        <f t="shared" si="697"/>
        <v>24</v>
      </c>
      <c r="AU657" s="439">
        <f t="shared" si="697"/>
        <v>0</v>
      </c>
      <c r="AV657" s="439">
        <f t="shared" si="698"/>
        <v>2</v>
      </c>
      <c r="AW657" s="726">
        <f t="shared" si="698"/>
        <v>0</v>
      </c>
      <c r="AX657" s="439"/>
      <c r="AY657" s="440">
        <f t="shared" si="699"/>
        <v>2</v>
      </c>
      <c r="AZ657" s="439"/>
      <c r="BA657" s="439"/>
      <c r="BB657" s="439"/>
      <c r="BC657" s="439"/>
      <c r="BD657" s="440">
        <f t="shared" si="700"/>
        <v>0</v>
      </c>
      <c r="BE657" s="440"/>
      <c r="BF657" s="440"/>
      <c r="BG657" s="440"/>
      <c r="BH657" s="361"/>
    </row>
    <row r="658" spans="1:60" s="356" customFormat="1" x14ac:dyDescent="0.25">
      <c r="A658" s="526" t="str">
        <f t="shared" si="680"/>
        <v>Payments for buy-outs of noncontrolling interests in subsidiaries</v>
      </c>
      <c r="B658" s="439"/>
      <c r="C658" s="440">
        <f t="shared" si="703"/>
        <v>0</v>
      </c>
      <c r="D658" s="440">
        <f t="shared" si="703"/>
        <v>0</v>
      </c>
      <c r="E658" s="440">
        <f t="shared" si="703"/>
        <v>0</v>
      </c>
      <c r="F658" s="440">
        <f t="shared" si="703"/>
        <v>0</v>
      </c>
      <c r="G658" s="439">
        <f t="shared" si="703"/>
        <v>0</v>
      </c>
      <c r="H658" s="439">
        <f t="shared" si="682"/>
        <v>0</v>
      </c>
      <c r="I658" s="439">
        <f t="shared" si="682"/>
        <v>0</v>
      </c>
      <c r="J658" s="439">
        <f t="shared" si="682"/>
        <v>0</v>
      </c>
      <c r="K658" s="440">
        <f t="shared" si="683"/>
        <v>0</v>
      </c>
      <c r="L658" s="439">
        <f t="shared" si="683"/>
        <v>0</v>
      </c>
      <c r="M658" s="439">
        <f t="shared" si="684"/>
        <v>0</v>
      </c>
      <c r="N658" s="439">
        <f t="shared" si="684"/>
        <v>0</v>
      </c>
      <c r="O658" s="439">
        <f t="shared" si="684"/>
        <v>0</v>
      </c>
      <c r="P658" s="440">
        <f t="shared" si="685"/>
        <v>0</v>
      </c>
      <c r="Q658" s="439">
        <f t="shared" si="685"/>
        <v>0</v>
      </c>
      <c r="R658" s="439">
        <f t="shared" si="686"/>
        <v>0</v>
      </c>
      <c r="S658" s="439">
        <f t="shared" si="686"/>
        <v>0</v>
      </c>
      <c r="T658" s="439">
        <f t="shared" si="686"/>
        <v>0</v>
      </c>
      <c r="U658" s="440">
        <f t="shared" si="687"/>
        <v>0</v>
      </c>
      <c r="V658" s="439">
        <f t="shared" si="687"/>
        <v>0</v>
      </c>
      <c r="W658" s="439">
        <f t="shared" si="688"/>
        <v>0</v>
      </c>
      <c r="X658" s="439">
        <f t="shared" si="688"/>
        <v>0</v>
      </c>
      <c r="Y658" s="439">
        <f t="shared" si="688"/>
        <v>0</v>
      </c>
      <c r="Z658" s="440">
        <f t="shared" si="689"/>
        <v>0</v>
      </c>
      <c r="AA658" s="439">
        <f t="shared" si="689"/>
        <v>0</v>
      </c>
      <c r="AB658" s="439">
        <f t="shared" si="690"/>
        <v>0</v>
      </c>
      <c r="AC658" s="439">
        <f t="shared" si="690"/>
        <v>0</v>
      </c>
      <c r="AD658" s="439">
        <f t="shared" si="690"/>
        <v>-0.373</v>
      </c>
      <c r="AE658" s="440">
        <f t="shared" si="691"/>
        <v>-0.373</v>
      </c>
      <c r="AF658" s="439">
        <f t="shared" si="691"/>
        <v>-2.9209999999999998</v>
      </c>
      <c r="AG658" s="439">
        <f t="shared" si="692"/>
        <v>0</v>
      </c>
      <c r="AH658" s="439">
        <f t="shared" si="692"/>
        <v>0</v>
      </c>
      <c r="AI658" s="439">
        <f t="shared" si="692"/>
        <v>-3.036</v>
      </c>
      <c r="AJ658" s="440">
        <f t="shared" si="693"/>
        <v>-5.9569999999999999</v>
      </c>
      <c r="AK658" s="439">
        <f t="shared" si="693"/>
        <v>-7.5890000000000004</v>
      </c>
      <c r="AL658" s="439">
        <f t="shared" si="694"/>
        <v>0</v>
      </c>
      <c r="AM658" s="439">
        <f t="shared" si="694"/>
        <v>-0.41099999999999959</v>
      </c>
      <c r="AN658" s="439">
        <f t="shared" si="694"/>
        <v>-1</v>
      </c>
      <c r="AO658" s="440">
        <f t="shared" si="695"/>
        <v>-9</v>
      </c>
      <c r="AP658" s="439">
        <f t="shared" si="695"/>
        <v>0</v>
      </c>
      <c r="AQ658" s="439">
        <f t="shared" si="696"/>
        <v>-2</v>
      </c>
      <c r="AR658" s="439">
        <f t="shared" si="696"/>
        <v>-31</v>
      </c>
      <c r="AS658" s="439">
        <f t="shared" si="696"/>
        <v>-2</v>
      </c>
      <c r="AT658" s="440">
        <f t="shared" si="697"/>
        <v>-35</v>
      </c>
      <c r="AU658" s="439">
        <f t="shared" si="697"/>
        <v>0</v>
      </c>
      <c r="AV658" s="439">
        <f t="shared" si="698"/>
        <v>0</v>
      </c>
      <c r="AW658" s="726">
        <f t="shared" si="698"/>
        <v>0</v>
      </c>
      <c r="AX658" s="439"/>
      <c r="AY658" s="440">
        <f t="shared" si="699"/>
        <v>0</v>
      </c>
      <c r="AZ658" s="439"/>
      <c r="BA658" s="439"/>
      <c r="BB658" s="439"/>
      <c r="BC658" s="439"/>
      <c r="BD658" s="440">
        <f t="shared" si="700"/>
        <v>0</v>
      </c>
      <c r="BE658" s="440"/>
      <c r="BF658" s="440"/>
      <c r="BG658" s="440"/>
      <c r="BH658" s="361"/>
    </row>
    <row r="659" spans="1:60" s="356" customFormat="1" x14ac:dyDescent="0.25">
      <c r="A659" s="526" t="str">
        <f t="shared" si="680"/>
        <v>Distributions paid to noncontrolling interests in subsidiaries</v>
      </c>
      <c r="B659" s="439"/>
      <c r="C659" s="440">
        <f t="shared" si="703"/>
        <v>0</v>
      </c>
      <c r="D659" s="440">
        <f t="shared" si="703"/>
        <v>0</v>
      </c>
      <c r="E659" s="440">
        <f t="shared" si="703"/>
        <v>0</v>
      </c>
      <c r="F659" s="440">
        <f t="shared" si="703"/>
        <v>0</v>
      </c>
      <c r="G659" s="439">
        <f t="shared" si="703"/>
        <v>0</v>
      </c>
      <c r="H659" s="439">
        <f t="shared" si="682"/>
        <v>0</v>
      </c>
      <c r="I659" s="439">
        <f t="shared" si="682"/>
        <v>0</v>
      </c>
      <c r="J659" s="439">
        <f t="shared" si="682"/>
        <v>0</v>
      </c>
      <c r="K659" s="440">
        <f t="shared" si="683"/>
        <v>0</v>
      </c>
      <c r="L659" s="439">
        <f t="shared" si="683"/>
        <v>0</v>
      </c>
      <c r="M659" s="439">
        <f t="shared" si="684"/>
        <v>0</v>
      </c>
      <c r="N659" s="439">
        <f t="shared" si="684"/>
        <v>0</v>
      </c>
      <c r="O659" s="439">
        <f t="shared" si="684"/>
        <v>0</v>
      </c>
      <c r="P659" s="440">
        <f t="shared" si="685"/>
        <v>0</v>
      </c>
      <c r="Q659" s="439">
        <f t="shared" si="685"/>
        <v>0</v>
      </c>
      <c r="R659" s="439">
        <f t="shared" si="686"/>
        <v>0</v>
      </c>
      <c r="S659" s="439">
        <f t="shared" si="686"/>
        <v>0</v>
      </c>
      <c r="T659" s="439">
        <f t="shared" si="686"/>
        <v>0</v>
      </c>
      <c r="U659" s="440">
        <f t="shared" si="687"/>
        <v>0</v>
      </c>
      <c r="V659" s="439">
        <f t="shared" si="687"/>
        <v>0</v>
      </c>
      <c r="W659" s="439">
        <f t="shared" si="688"/>
        <v>0</v>
      </c>
      <c r="X659" s="439">
        <f t="shared" si="688"/>
        <v>0</v>
      </c>
      <c r="Y659" s="439">
        <f t="shared" si="688"/>
        <v>0</v>
      </c>
      <c r="Z659" s="440">
        <f t="shared" si="689"/>
        <v>0</v>
      </c>
      <c r="AA659" s="439">
        <f t="shared" si="689"/>
        <v>-63.695999999999998</v>
      </c>
      <c r="AB659" s="439">
        <f t="shared" si="690"/>
        <v>-60.177000000000007</v>
      </c>
      <c r="AC659" s="439">
        <f t="shared" si="690"/>
        <v>-66.841999999999999</v>
      </c>
      <c r="AD659" s="439">
        <f t="shared" si="690"/>
        <v>-71.128999999999991</v>
      </c>
      <c r="AE659" s="440">
        <f t="shared" si="691"/>
        <v>-261.84399999999999</v>
      </c>
      <c r="AF659" s="439">
        <f t="shared" si="691"/>
        <v>-52.942</v>
      </c>
      <c r="AG659" s="439">
        <f t="shared" si="692"/>
        <v>-56.603000000000002</v>
      </c>
      <c r="AH659" s="439">
        <f t="shared" si="692"/>
        <v>-68.965999999999994</v>
      </c>
      <c r="AI659" s="439">
        <f t="shared" si="692"/>
        <v>-48.793000000000006</v>
      </c>
      <c r="AJ659" s="440">
        <f t="shared" si="693"/>
        <v>-227.304</v>
      </c>
      <c r="AK659" s="439">
        <f t="shared" si="693"/>
        <v>-85.257000000000005</v>
      </c>
      <c r="AL659" s="439">
        <f t="shared" si="694"/>
        <v>-63.501999999999981</v>
      </c>
      <c r="AM659" s="439">
        <f t="shared" si="694"/>
        <v>-62.241000000000014</v>
      </c>
      <c r="AN659" s="439">
        <f t="shared" si="694"/>
        <v>-100</v>
      </c>
      <c r="AO659" s="440">
        <f t="shared" si="695"/>
        <v>-311</v>
      </c>
      <c r="AP659" s="439">
        <f t="shared" si="695"/>
        <v>-67</v>
      </c>
      <c r="AQ659" s="439">
        <f t="shared" si="696"/>
        <v>-43</v>
      </c>
      <c r="AR659" s="439">
        <f t="shared" si="696"/>
        <v>-53</v>
      </c>
      <c r="AS659" s="439">
        <f t="shared" si="696"/>
        <v>-45</v>
      </c>
      <c r="AT659" s="440">
        <f t="shared" si="697"/>
        <v>-208</v>
      </c>
      <c r="AU659" s="439">
        <f t="shared" si="697"/>
        <v>-32</v>
      </c>
      <c r="AV659" s="439">
        <f t="shared" si="698"/>
        <v>-33</v>
      </c>
      <c r="AW659" s="726">
        <f t="shared" si="698"/>
        <v>-43</v>
      </c>
      <c r="AX659" s="441">
        <v>-40</v>
      </c>
      <c r="AY659" s="440">
        <f t="shared" si="699"/>
        <v>-148</v>
      </c>
      <c r="AZ659" s="441">
        <v>-40</v>
      </c>
      <c r="BA659" s="441">
        <v>-40</v>
      </c>
      <c r="BB659" s="441">
        <v>-40</v>
      </c>
      <c r="BC659" s="441">
        <v>-40</v>
      </c>
      <c r="BD659" s="440">
        <f t="shared" si="700"/>
        <v>-160</v>
      </c>
      <c r="BE659" s="1008">
        <v>-160</v>
      </c>
      <c r="BF659" s="1008">
        <v>-160</v>
      </c>
      <c r="BG659" s="1008">
        <v>-160</v>
      </c>
      <c r="BH659" s="361"/>
    </row>
    <row r="660" spans="1:60" s="356" customFormat="1" x14ac:dyDescent="0.25">
      <c r="A660" s="466" t="str">
        <f t="shared" si="680"/>
        <v>Other</v>
      </c>
      <c r="B660" s="459"/>
      <c r="C660" s="479">
        <f t="shared" si="703"/>
        <v>0</v>
      </c>
      <c r="D660" s="479">
        <f t="shared" si="703"/>
        <v>0</v>
      </c>
      <c r="E660" s="479">
        <f t="shared" si="703"/>
        <v>0</v>
      </c>
      <c r="F660" s="479">
        <f t="shared" si="703"/>
        <v>0</v>
      </c>
      <c r="G660" s="459">
        <f t="shared" si="703"/>
        <v>0</v>
      </c>
      <c r="H660" s="459">
        <f t="shared" si="682"/>
        <v>0</v>
      </c>
      <c r="I660" s="459">
        <f t="shared" si="682"/>
        <v>0</v>
      </c>
      <c r="J660" s="459">
        <f t="shared" si="682"/>
        <v>0</v>
      </c>
      <c r="K660" s="479">
        <f t="shared" si="683"/>
        <v>0</v>
      </c>
      <c r="L660" s="459">
        <f t="shared" si="683"/>
        <v>0</v>
      </c>
      <c r="M660" s="459">
        <f t="shared" si="684"/>
        <v>0</v>
      </c>
      <c r="N660" s="459">
        <f t="shared" si="684"/>
        <v>0</v>
      </c>
      <c r="O660" s="459">
        <f t="shared" si="684"/>
        <v>0</v>
      </c>
      <c r="P660" s="479">
        <f t="shared" si="685"/>
        <v>0</v>
      </c>
      <c r="Q660" s="459">
        <f t="shared" si="685"/>
        <v>0</v>
      </c>
      <c r="R660" s="459">
        <f t="shared" si="686"/>
        <v>0</v>
      </c>
      <c r="S660" s="459">
        <f t="shared" si="686"/>
        <v>0</v>
      </c>
      <c r="T660" s="459">
        <f t="shared" si="686"/>
        <v>0</v>
      </c>
      <c r="U660" s="479">
        <f t="shared" si="687"/>
        <v>0</v>
      </c>
      <c r="V660" s="459">
        <f t="shared" si="687"/>
        <v>0</v>
      </c>
      <c r="W660" s="459">
        <f t="shared" si="688"/>
        <v>0</v>
      </c>
      <c r="X660" s="459">
        <f t="shared" si="688"/>
        <v>0</v>
      </c>
      <c r="Y660" s="459">
        <f t="shared" si="688"/>
        <v>0</v>
      </c>
      <c r="Z660" s="479">
        <f t="shared" si="689"/>
        <v>0</v>
      </c>
      <c r="AA660" s="459">
        <f t="shared" si="689"/>
        <v>0</v>
      </c>
      <c r="AB660" s="459">
        <f t="shared" si="690"/>
        <v>0</v>
      </c>
      <c r="AC660" s="459">
        <f t="shared" si="690"/>
        <v>0</v>
      </c>
      <c r="AD660" s="459">
        <f t="shared" si="690"/>
        <v>0</v>
      </c>
      <c r="AE660" s="479">
        <f t="shared" si="691"/>
        <v>0</v>
      </c>
      <c r="AF660" s="459">
        <f t="shared" si="691"/>
        <v>0</v>
      </c>
      <c r="AG660" s="459">
        <f t="shared" si="692"/>
        <v>0</v>
      </c>
      <c r="AH660" s="459">
        <f t="shared" si="692"/>
        <v>0</v>
      </c>
      <c r="AI660" s="459">
        <f t="shared" si="692"/>
        <v>0</v>
      </c>
      <c r="AJ660" s="479">
        <f t="shared" si="693"/>
        <v>0</v>
      </c>
      <c r="AK660" s="459">
        <f t="shared" si="693"/>
        <v>0</v>
      </c>
      <c r="AL660" s="459">
        <f t="shared" si="694"/>
        <v>0</v>
      </c>
      <c r="AM660" s="459">
        <f t="shared" si="694"/>
        <v>0</v>
      </c>
      <c r="AN660" s="459">
        <f t="shared" si="694"/>
        <v>0</v>
      </c>
      <c r="AO660" s="479">
        <f t="shared" si="695"/>
        <v>0</v>
      </c>
      <c r="AP660" s="459">
        <f t="shared" si="695"/>
        <v>0</v>
      </c>
      <c r="AQ660" s="459">
        <f t="shared" si="696"/>
        <v>0</v>
      </c>
      <c r="AR660" s="459">
        <f t="shared" si="696"/>
        <v>0</v>
      </c>
      <c r="AS660" s="459">
        <f t="shared" si="696"/>
        <v>0</v>
      </c>
      <c r="AT660" s="479">
        <f t="shared" si="697"/>
        <v>0</v>
      </c>
      <c r="AU660" s="459">
        <f t="shared" si="697"/>
        <v>0</v>
      </c>
      <c r="AV660" s="459">
        <f t="shared" si="698"/>
        <v>0</v>
      </c>
      <c r="AW660" s="723">
        <f t="shared" si="698"/>
        <v>0</v>
      </c>
      <c r="AX660" s="459"/>
      <c r="AY660" s="479">
        <f t="shared" si="699"/>
        <v>0</v>
      </c>
      <c r="AZ660" s="459"/>
      <c r="BA660" s="459"/>
      <c r="BB660" s="459"/>
      <c r="BC660" s="459"/>
      <c r="BD660" s="479">
        <f t="shared" si="700"/>
        <v>0</v>
      </c>
      <c r="BE660" s="479"/>
      <c r="BF660" s="479"/>
      <c r="BG660" s="479"/>
      <c r="BH660" s="361"/>
    </row>
    <row r="661" spans="1:60" s="116" customFormat="1" x14ac:dyDescent="0.25">
      <c r="A661" s="528" t="str">
        <f t="shared" si="680"/>
        <v>Net CFF</v>
      </c>
      <c r="B661" s="529"/>
      <c r="C661" s="45">
        <f t="shared" ref="C661:AH661" si="704">SUM(C634:C660)</f>
        <v>155.41900000000001</v>
      </c>
      <c r="D661" s="45">
        <f t="shared" si="704"/>
        <v>337.97100000000006</v>
      </c>
      <c r="E661" s="45">
        <f t="shared" si="704"/>
        <v>445.99999999999994</v>
      </c>
      <c r="F661" s="45">
        <f t="shared" si="704"/>
        <v>419.63500000000005</v>
      </c>
      <c r="G661" s="44">
        <f t="shared" si="704"/>
        <v>3.6839999999999993</v>
      </c>
      <c r="H661" s="44">
        <f t="shared" si="704"/>
        <v>597.00700000000018</v>
      </c>
      <c r="I661" s="44">
        <f t="shared" si="704"/>
        <v>24.214999999999996</v>
      </c>
      <c r="J661" s="44">
        <f t="shared" si="704"/>
        <v>10.516000000000005</v>
      </c>
      <c r="K661" s="45">
        <f t="shared" si="704"/>
        <v>635.42200000000014</v>
      </c>
      <c r="L661" s="44">
        <f t="shared" si="704"/>
        <v>1816.5590000000002</v>
      </c>
      <c r="M661" s="44">
        <f t="shared" si="704"/>
        <v>281.49200000000008</v>
      </c>
      <c r="N661" s="44">
        <f t="shared" si="704"/>
        <v>33.753999999999998</v>
      </c>
      <c r="O661" s="44">
        <f t="shared" si="704"/>
        <v>11.324999999999999</v>
      </c>
      <c r="P661" s="45">
        <f t="shared" si="704"/>
        <v>2143.13</v>
      </c>
      <c r="Q661" s="44">
        <f t="shared" si="704"/>
        <v>186.15600000000003</v>
      </c>
      <c r="R661" s="44">
        <f t="shared" si="704"/>
        <v>218.35099999999997</v>
      </c>
      <c r="S661" s="44">
        <f t="shared" si="704"/>
        <v>893.97800000000007</v>
      </c>
      <c r="T661" s="44">
        <f t="shared" si="704"/>
        <v>225.03800000000004</v>
      </c>
      <c r="U661" s="45">
        <f t="shared" si="704"/>
        <v>1523.5230000000001</v>
      </c>
      <c r="V661" s="44">
        <f t="shared" si="704"/>
        <v>715.43499999999995</v>
      </c>
      <c r="W661" s="44">
        <f t="shared" si="704"/>
        <v>1976.5839999999998</v>
      </c>
      <c r="X661" s="44">
        <f t="shared" si="704"/>
        <v>-320.86999999999995</v>
      </c>
      <c r="Y661" s="44">
        <f t="shared" si="704"/>
        <v>1372.8269999999998</v>
      </c>
      <c r="Z661" s="45">
        <f t="shared" si="704"/>
        <v>3743.9759999999992</v>
      </c>
      <c r="AA661" s="44">
        <f t="shared" si="704"/>
        <v>1598.7489999999996</v>
      </c>
      <c r="AB661" s="44">
        <f t="shared" si="704"/>
        <v>428.76699999999971</v>
      </c>
      <c r="AC661" s="44">
        <f t="shared" si="704"/>
        <v>2101.5060000000008</v>
      </c>
      <c r="AD661" s="44">
        <f t="shared" si="704"/>
        <v>285.84200000000021</v>
      </c>
      <c r="AE661" s="45">
        <f t="shared" si="704"/>
        <v>4414.8639999999987</v>
      </c>
      <c r="AF661" s="44">
        <f t="shared" si="704"/>
        <v>371.6600000000002</v>
      </c>
      <c r="AG661" s="44">
        <f t="shared" si="704"/>
        <v>398.62199999999979</v>
      </c>
      <c r="AH661" s="44">
        <f t="shared" si="704"/>
        <v>-84.218000000000316</v>
      </c>
      <c r="AI661" s="44">
        <f t="shared" ref="AI661:AY661" si="705">SUM(AI634:AI660)</f>
        <v>-112.3089999999998</v>
      </c>
      <c r="AJ661" s="45">
        <f t="shared" si="705"/>
        <v>573.75499999999965</v>
      </c>
      <c r="AK661" s="44">
        <f t="shared" si="705"/>
        <v>-653.01900000000001</v>
      </c>
      <c r="AL661" s="44">
        <f t="shared" si="705"/>
        <v>2142.8410000000003</v>
      </c>
      <c r="AM661" s="44">
        <f t="shared" si="705"/>
        <v>118.17800000000025</v>
      </c>
      <c r="AN661" s="44">
        <f t="shared" si="705"/>
        <v>-79</v>
      </c>
      <c r="AO661" s="45">
        <f t="shared" si="705"/>
        <v>1529</v>
      </c>
      <c r="AP661" s="44">
        <f t="shared" si="705"/>
        <v>2708</v>
      </c>
      <c r="AQ661" s="31">
        <f t="shared" si="705"/>
        <v>123</v>
      </c>
      <c r="AR661" s="44">
        <f t="shared" ref="AR661" si="706">SUM(AR634:AR660)</f>
        <v>4450</v>
      </c>
      <c r="AS661" s="44">
        <f>SUM(AS634:AS660)</f>
        <v>2692</v>
      </c>
      <c r="AT661" s="45">
        <f>SUM(AT634:AT660)</f>
        <v>9973</v>
      </c>
      <c r="AU661" s="30">
        <f t="shared" ref="AU661:AW661" si="707">SUM(AU634:AU660)</f>
        <v>-1016</v>
      </c>
      <c r="AV661" s="30">
        <f t="shared" si="707"/>
        <v>-1549</v>
      </c>
      <c r="AW661" s="729">
        <f t="shared" si="707"/>
        <v>-1381</v>
      </c>
      <c r="AX661" s="44">
        <f t="shared" ca="1" si="705"/>
        <v>-40</v>
      </c>
      <c r="AY661" s="45">
        <f t="shared" ca="1" si="705"/>
        <v>-3986</v>
      </c>
      <c r="AZ661" s="44">
        <f t="shared" ref="AZ661:BG661" ca="1" si="708">SUM(AZ634:AZ660)</f>
        <v>-40</v>
      </c>
      <c r="BA661" s="44">
        <f t="shared" ca="1" si="708"/>
        <v>-40</v>
      </c>
      <c r="BB661" s="44">
        <f t="shared" ca="1" si="708"/>
        <v>-40</v>
      </c>
      <c r="BC661" s="44">
        <f t="shared" ca="1" si="708"/>
        <v>-40</v>
      </c>
      <c r="BD661" s="45">
        <f t="shared" ca="1" si="708"/>
        <v>-160</v>
      </c>
      <c r="BE661" s="45">
        <f t="shared" ca="1" si="708"/>
        <v>-160</v>
      </c>
      <c r="BF661" s="45">
        <f t="shared" ca="1" si="708"/>
        <v>-160</v>
      </c>
      <c r="BG661" s="45">
        <f t="shared" ca="1" si="708"/>
        <v>-160</v>
      </c>
      <c r="BH661" s="368"/>
    </row>
    <row r="662" spans="1:60" s="116" customFormat="1" x14ac:dyDescent="0.25">
      <c r="A662" s="530"/>
      <c r="B662" s="531"/>
      <c r="C662" s="438"/>
      <c r="D662" s="438"/>
      <c r="E662" s="438"/>
      <c r="F662" s="438"/>
      <c r="G662" s="437"/>
      <c r="H662" s="437"/>
      <c r="I662" s="437"/>
      <c r="J662" s="437"/>
      <c r="K662" s="438"/>
      <c r="L662" s="437"/>
      <c r="M662" s="437"/>
      <c r="N662" s="437"/>
      <c r="O662" s="437"/>
      <c r="P662" s="438"/>
      <c r="Q662" s="437"/>
      <c r="R662" s="437"/>
      <c r="S662" s="437"/>
      <c r="T662" s="437"/>
      <c r="U662" s="438"/>
      <c r="V662" s="437"/>
      <c r="W662" s="437"/>
      <c r="X662" s="437"/>
      <c r="Y662" s="437"/>
      <c r="Z662" s="438"/>
      <c r="AA662" s="437"/>
      <c r="AB662" s="437"/>
      <c r="AC662" s="437"/>
      <c r="AD662" s="437"/>
      <c r="AE662" s="438"/>
      <c r="AF662" s="437"/>
      <c r="AG662" s="437"/>
      <c r="AH662" s="437"/>
      <c r="AI662" s="437"/>
      <c r="AJ662" s="438"/>
      <c r="AK662" s="437"/>
      <c r="AL662" s="437"/>
      <c r="AM662" s="437"/>
      <c r="AN662" s="437"/>
      <c r="AO662" s="438"/>
      <c r="AP662" s="437"/>
      <c r="AQ662" s="437"/>
      <c r="AR662" s="437"/>
      <c r="AS662" s="437"/>
      <c r="AT662" s="438"/>
      <c r="AU662" s="437"/>
      <c r="AV662" s="437"/>
      <c r="AW662" s="725"/>
      <c r="AX662" s="437"/>
      <c r="AY662" s="438"/>
      <c r="AZ662" s="437"/>
      <c r="BA662" s="437"/>
      <c r="BB662" s="437"/>
      <c r="BC662" s="437"/>
      <c r="BD662" s="438"/>
      <c r="BE662" s="438"/>
      <c r="BF662" s="438"/>
      <c r="BG662" s="438"/>
      <c r="BH662" s="368"/>
    </row>
    <row r="663" spans="1:60" s="356" customFormat="1" x14ac:dyDescent="0.25">
      <c r="A663" s="554" t="str">
        <f>A573</f>
        <v>FX</v>
      </c>
      <c r="B663" s="450"/>
      <c r="C663" s="440">
        <f>C573</f>
        <v>0</v>
      </c>
      <c r="D663" s="440">
        <f>D573</f>
        <v>0</v>
      </c>
      <c r="E663" s="440">
        <f>E573</f>
        <v>0</v>
      </c>
      <c r="F663" s="440">
        <f>F573</f>
        <v>0</v>
      </c>
      <c r="G663" s="439">
        <f>G573</f>
        <v>0</v>
      </c>
      <c r="H663" s="439">
        <f>H573-G573</f>
        <v>-2.895</v>
      </c>
      <c r="I663" s="439">
        <f>I573-H573</f>
        <v>0.31000000000000005</v>
      </c>
      <c r="J663" s="439">
        <f>J573-I573</f>
        <v>-4.2249999999999996</v>
      </c>
      <c r="K663" s="440">
        <f>K573</f>
        <v>-6.81</v>
      </c>
      <c r="L663" s="439">
        <f>L573</f>
        <v>1.917</v>
      </c>
      <c r="M663" s="439">
        <f>M573-L573</f>
        <v>-1.4380000000000002</v>
      </c>
      <c r="N663" s="439">
        <f>N573-M573</f>
        <v>-18.29</v>
      </c>
      <c r="O663" s="439">
        <f>O573-N573</f>
        <v>-17.713999999999999</v>
      </c>
      <c r="P663" s="440">
        <f>P573</f>
        <v>-35.524999999999999</v>
      </c>
      <c r="Q663" s="439">
        <f>Q573</f>
        <v>-17.655000000000001</v>
      </c>
      <c r="R663" s="439">
        <f>R573-Q573</f>
        <v>4.599000000000002</v>
      </c>
      <c r="S663" s="439">
        <f>S573-R573</f>
        <v>-11.185</v>
      </c>
      <c r="T663" s="439">
        <f>T573-S573</f>
        <v>-10.036999999999999</v>
      </c>
      <c r="U663" s="440">
        <f>U573</f>
        <v>-34.277999999999999</v>
      </c>
      <c r="V663" s="439">
        <f>V573</f>
        <v>12.87</v>
      </c>
      <c r="W663" s="439">
        <f>W573-V573</f>
        <v>-2.5539999999999985</v>
      </c>
      <c r="X663" s="439">
        <f>X573-W573</f>
        <v>3.1829999999999998</v>
      </c>
      <c r="Y663" s="439">
        <f>Y573-X573</f>
        <v>-20.908000000000001</v>
      </c>
      <c r="Z663" s="440">
        <f>Z573</f>
        <v>-7.4089999999999998</v>
      </c>
      <c r="AA663" s="439">
        <f>AA573</f>
        <v>11.382</v>
      </c>
      <c r="AB663" s="439">
        <f>AB573-AA573</f>
        <v>15.952</v>
      </c>
      <c r="AC663" s="439">
        <f>AC573-AB573</f>
        <v>8.0939999999999976</v>
      </c>
      <c r="AD663" s="439">
        <f>AD573-AC573</f>
        <v>4.027000000000001</v>
      </c>
      <c r="AE663" s="440">
        <f>AE573</f>
        <v>39.454999999999998</v>
      </c>
      <c r="AF663" s="439">
        <f>AF573</f>
        <v>10.102</v>
      </c>
      <c r="AG663" s="439">
        <f>AG573-AF573</f>
        <v>-22.611000000000001</v>
      </c>
      <c r="AH663" s="439">
        <f>AH573-AG573</f>
        <v>-6.370000000000001</v>
      </c>
      <c r="AI663" s="439">
        <f>AI573-AH573</f>
        <v>-3.820999999999998</v>
      </c>
      <c r="AJ663" s="440">
        <f>AJ573</f>
        <v>-22.7</v>
      </c>
      <c r="AK663" s="439">
        <f>AK573</f>
        <v>4.8780000000000001</v>
      </c>
      <c r="AL663" s="439">
        <f>AL573-AK573</f>
        <v>0.59299999999999997</v>
      </c>
      <c r="AM663" s="439">
        <f>AM573-AL573</f>
        <v>-11.471</v>
      </c>
      <c r="AN663" s="439">
        <f>AN573-AM573</f>
        <v>14</v>
      </c>
      <c r="AO663" s="440">
        <f>AO573</f>
        <v>8</v>
      </c>
      <c r="AP663" s="439">
        <f>AP573</f>
        <v>-24</v>
      </c>
      <c r="AQ663" s="439">
        <f>AQ573-AP573</f>
        <v>38</v>
      </c>
      <c r="AR663" s="439">
        <f>AR573-AQ573</f>
        <v>86</v>
      </c>
      <c r="AS663" s="439">
        <f>AS573-AR573</f>
        <v>234</v>
      </c>
      <c r="AT663" s="440">
        <f>AT573</f>
        <v>334</v>
      </c>
      <c r="AU663" s="439">
        <f>AU573</f>
        <v>-221</v>
      </c>
      <c r="AV663" s="439">
        <f>AV573-AU573</f>
        <v>42</v>
      </c>
      <c r="AW663" s="726">
        <f>AW573-AV573</f>
        <v>-42</v>
      </c>
      <c r="AX663" s="439"/>
      <c r="AY663" s="440">
        <f>SUM(AU663,AV663,AW663,AX663)</f>
        <v>-221</v>
      </c>
      <c r="AZ663" s="439"/>
      <c r="BA663" s="439"/>
      <c r="BB663" s="439"/>
      <c r="BC663" s="439"/>
      <c r="BD663" s="440">
        <f>SUM(AZ663,BA663,BB663,BC663)</f>
        <v>0</v>
      </c>
      <c r="BE663" s="440"/>
      <c r="BF663" s="440"/>
      <c r="BG663" s="440"/>
      <c r="BH663" s="361"/>
    </row>
    <row r="664" spans="1:60" s="116" customFormat="1" x14ac:dyDescent="0.25">
      <c r="A664" s="530" t="str">
        <f>A574</f>
        <v>Net Change in Cash Balance</v>
      </c>
      <c r="B664" s="531"/>
      <c r="C664" s="438">
        <f t="shared" ref="C664:AH664" si="709">C661+C631+C616+C663</f>
        <v>60.349999999999994</v>
      </c>
      <c r="D664" s="438">
        <f t="shared" si="709"/>
        <v>29.931000000000054</v>
      </c>
      <c r="E664" s="438">
        <f t="shared" si="709"/>
        <v>155.708</v>
      </c>
      <c r="F664" s="438">
        <f t="shared" si="709"/>
        <v>-53.376000000000033</v>
      </c>
      <c r="G664" s="437">
        <f t="shared" si="709"/>
        <v>12.527000000000008</v>
      </c>
      <c r="H664" s="437">
        <f t="shared" si="709"/>
        <v>531.64000000000021</v>
      </c>
      <c r="I664" s="437">
        <f t="shared" si="709"/>
        <v>49.059000000000047</v>
      </c>
      <c r="J664" s="437">
        <f t="shared" si="709"/>
        <v>50.773000000000032</v>
      </c>
      <c r="K664" s="438">
        <f t="shared" si="709"/>
        <v>643.99900000000025</v>
      </c>
      <c r="L664" s="437">
        <f t="shared" si="709"/>
        <v>1548.019</v>
      </c>
      <c r="M664" s="437">
        <f t="shared" si="709"/>
        <v>281.00200000000007</v>
      </c>
      <c r="N664" s="437">
        <f t="shared" si="709"/>
        <v>-304.17500000000001</v>
      </c>
      <c r="O664" s="437">
        <f t="shared" si="709"/>
        <v>-465.02199999999988</v>
      </c>
      <c r="P664" s="438">
        <f t="shared" si="709"/>
        <v>1059.8240000000003</v>
      </c>
      <c r="Q664" s="437">
        <f t="shared" si="709"/>
        <v>-395.63700000000006</v>
      </c>
      <c r="R664" s="437">
        <f t="shared" si="709"/>
        <v>-359.40300000000013</v>
      </c>
      <c r="S664" s="437">
        <f t="shared" si="709"/>
        <v>275.36300000000011</v>
      </c>
      <c r="T664" s="437">
        <f t="shared" si="709"/>
        <v>-229.12799999999984</v>
      </c>
      <c r="U664" s="438">
        <f t="shared" si="709"/>
        <v>-708.80499999999984</v>
      </c>
      <c r="V664" s="437">
        <f t="shared" si="709"/>
        <v>244.88099999999989</v>
      </c>
      <c r="W664" s="437">
        <f t="shared" si="709"/>
        <v>1804.5119999999997</v>
      </c>
      <c r="X664" s="437">
        <f t="shared" si="709"/>
        <v>-162.04399999999981</v>
      </c>
      <c r="Y664" s="437">
        <f t="shared" si="709"/>
        <v>308.95899999999966</v>
      </c>
      <c r="Z664" s="438">
        <f t="shared" si="709"/>
        <v>2196.3079999999991</v>
      </c>
      <c r="AA664" s="437">
        <f t="shared" si="709"/>
        <v>613.37699999999938</v>
      </c>
      <c r="AB664" s="437">
        <f t="shared" si="709"/>
        <v>-970.66900000000044</v>
      </c>
      <c r="AC664" s="437">
        <f t="shared" si="709"/>
        <v>494.10600000000022</v>
      </c>
      <c r="AD664" s="437">
        <f t="shared" si="709"/>
        <v>-162.1159999999993</v>
      </c>
      <c r="AE664" s="438">
        <f t="shared" si="709"/>
        <v>-25.30200000000093</v>
      </c>
      <c r="AF664" s="437">
        <f t="shared" si="709"/>
        <v>-745.25099999999986</v>
      </c>
      <c r="AG664" s="437">
        <f t="shared" si="709"/>
        <v>-436.47000000000025</v>
      </c>
      <c r="AH664" s="437">
        <f t="shared" si="709"/>
        <v>739.72799999999984</v>
      </c>
      <c r="AI664" s="437">
        <f t="shared" ref="AI664:AY664" si="710">AI661+AI631+AI616+AI663</f>
        <v>753.4219999999998</v>
      </c>
      <c r="AJ664" s="438">
        <f t="shared" si="710"/>
        <v>311.42899999999946</v>
      </c>
      <c r="AK664" s="437">
        <f t="shared" si="710"/>
        <v>-1593.5900000000004</v>
      </c>
      <c r="AL664" s="437">
        <f t="shared" si="710"/>
        <v>2765.4950000000003</v>
      </c>
      <c r="AM664" s="437">
        <f t="shared" si="710"/>
        <v>377.09500000000037</v>
      </c>
      <c r="AN664" s="437">
        <f t="shared" si="710"/>
        <v>957</v>
      </c>
      <c r="AO664" s="438">
        <f t="shared" si="710"/>
        <v>2506</v>
      </c>
      <c r="AP664" s="437">
        <f t="shared" si="710"/>
        <v>1764</v>
      </c>
      <c r="AQ664" s="437">
        <f t="shared" si="710"/>
        <v>559</v>
      </c>
      <c r="AR664" s="437">
        <f t="shared" ref="AR664" si="711">AR661+AR631+AR616+AR663</f>
        <v>5897</v>
      </c>
      <c r="AS664" s="437">
        <f>AS661+AS631+AS616+AS663</f>
        <v>4898</v>
      </c>
      <c r="AT664" s="438">
        <f>AT661+AT631+AT616+AT663</f>
        <v>13118</v>
      </c>
      <c r="AU664" s="368">
        <f t="shared" ref="AU664:AW664" si="712">AU661+AU631+AU616+AU663</f>
        <v>-2178</v>
      </c>
      <c r="AV664" s="368">
        <f t="shared" si="712"/>
        <v>-898</v>
      </c>
      <c r="AW664" s="725">
        <f t="shared" si="712"/>
        <v>-131</v>
      </c>
      <c r="AX664" s="437">
        <f t="shared" ca="1" si="710"/>
        <v>1160.0705574896356</v>
      </c>
      <c r="AY664" s="438">
        <f t="shared" ca="1" si="710"/>
        <v>-2046.9294425103635</v>
      </c>
      <c r="AZ664" s="437">
        <f t="shared" ref="AZ664:BG664" ca="1" si="713">AZ661+AZ631+AZ616+AZ663</f>
        <v>2312.9610824833785</v>
      </c>
      <c r="BA664" s="437">
        <f t="shared" ca="1" si="713"/>
        <v>2852.83031432598</v>
      </c>
      <c r="BB664" s="437">
        <f t="shared" ca="1" si="713"/>
        <v>5663.9619575365086</v>
      </c>
      <c r="BC664" s="437">
        <f t="shared" ca="1" si="713"/>
        <v>2823.3952144012183</v>
      </c>
      <c r="BD664" s="438">
        <f t="shared" ca="1" si="713"/>
        <v>13653.148568747085</v>
      </c>
      <c r="BE664" s="438">
        <f t="shared" ca="1" si="713"/>
        <v>12390.299377733936</v>
      </c>
      <c r="BF664" s="438">
        <f t="shared" ca="1" si="713"/>
        <v>16579.316084975319</v>
      </c>
      <c r="BG664" s="438">
        <f t="shared" ca="1" si="713"/>
        <v>21491.970565300086</v>
      </c>
      <c r="BH664" s="368"/>
    </row>
    <row r="665" spans="1:60" s="116" customFormat="1" x14ac:dyDescent="0.25">
      <c r="A665" s="530"/>
      <c r="B665" s="531"/>
      <c r="C665" s="438"/>
      <c r="D665" s="438"/>
      <c r="E665" s="438"/>
      <c r="F665" s="438"/>
      <c r="G665" s="437"/>
      <c r="H665" s="437"/>
      <c r="I665" s="437"/>
      <c r="J665" s="437"/>
      <c r="K665" s="438"/>
      <c r="L665" s="437"/>
      <c r="M665" s="437"/>
      <c r="N665" s="437"/>
      <c r="O665" s="437"/>
      <c r="P665" s="438"/>
      <c r="Q665" s="437"/>
      <c r="R665" s="437"/>
      <c r="S665" s="437"/>
      <c r="T665" s="437"/>
      <c r="U665" s="438"/>
      <c r="V665" s="437"/>
      <c r="W665" s="437"/>
      <c r="X665" s="437"/>
      <c r="Y665" s="437"/>
      <c r="Z665" s="438"/>
      <c r="AA665" s="437"/>
      <c r="AB665" s="437"/>
      <c r="AC665" s="437"/>
      <c r="AD665" s="437"/>
      <c r="AE665" s="438"/>
      <c r="AF665" s="437"/>
      <c r="AG665" s="437"/>
      <c r="AH665" s="437"/>
      <c r="AI665" s="437"/>
      <c r="AJ665" s="438"/>
      <c r="AK665" s="437"/>
      <c r="AL665" s="437"/>
      <c r="AM665" s="437"/>
      <c r="AN665" s="437"/>
      <c r="AO665" s="438"/>
      <c r="AP665" s="437"/>
      <c r="AQ665" s="437"/>
      <c r="AR665" s="437"/>
      <c r="AS665" s="437"/>
      <c r="AT665" s="438"/>
      <c r="AU665" s="437"/>
      <c r="AV665" s="437"/>
      <c r="AW665" s="725"/>
      <c r="AX665" s="437"/>
      <c r="AY665" s="438"/>
      <c r="AZ665" s="437"/>
      <c r="BA665" s="437"/>
      <c r="BB665" s="437"/>
      <c r="BC665" s="437"/>
      <c r="BD665" s="438"/>
      <c r="BE665" s="438"/>
      <c r="BF665" s="438"/>
      <c r="BG665" s="438"/>
      <c r="BH665" s="368"/>
    </row>
    <row r="666" spans="1:60" s="116" customFormat="1" x14ac:dyDescent="0.25">
      <c r="A666" s="530" t="str">
        <f>A576</f>
        <v>Beginning Cash Balance</v>
      </c>
      <c r="B666" s="531"/>
      <c r="C666" s="438">
        <f>C576</f>
        <v>9.2769999999999992</v>
      </c>
      <c r="D666" s="438">
        <f t="shared" ref="D666:J666" si="714">C667</f>
        <v>69.626999999999995</v>
      </c>
      <c r="E666" s="438">
        <f t="shared" si="714"/>
        <v>99.55800000000005</v>
      </c>
      <c r="F666" s="438">
        <f t="shared" si="714"/>
        <v>255.26600000000005</v>
      </c>
      <c r="G666" s="437">
        <f t="shared" si="714"/>
        <v>201.89000000000001</v>
      </c>
      <c r="H666" s="437">
        <f t="shared" si="714"/>
        <v>214.41700000000003</v>
      </c>
      <c r="I666" s="437">
        <f t="shared" si="714"/>
        <v>746.05700000000024</v>
      </c>
      <c r="J666" s="437">
        <f t="shared" si="714"/>
        <v>795.11600000000033</v>
      </c>
      <c r="K666" s="438">
        <f>F667</f>
        <v>201.89000000000001</v>
      </c>
      <c r="L666" s="437">
        <f>K667</f>
        <v>845.88900000000024</v>
      </c>
      <c r="M666" s="437">
        <f>L667</f>
        <v>2393.9080000000004</v>
      </c>
      <c r="N666" s="437">
        <f>M667</f>
        <v>2674.9100000000003</v>
      </c>
      <c r="O666" s="437">
        <f>N667</f>
        <v>2370.7350000000001</v>
      </c>
      <c r="P666" s="438">
        <f>K667</f>
        <v>845.88900000000024</v>
      </c>
      <c r="Q666" s="437">
        <f>P667</f>
        <v>1905.7130000000006</v>
      </c>
      <c r="R666" s="437">
        <f>Q667</f>
        <v>1510.0760000000005</v>
      </c>
      <c r="S666" s="437">
        <f>R667</f>
        <v>1150.6730000000002</v>
      </c>
      <c r="T666" s="437">
        <f>S667</f>
        <v>1426.0360000000003</v>
      </c>
      <c r="U666" s="438">
        <f>P667</f>
        <v>1905.7130000000006</v>
      </c>
      <c r="V666" s="437">
        <f>U667</f>
        <v>1196.9080000000008</v>
      </c>
      <c r="W666" s="437">
        <f>V667</f>
        <v>1441.7890000000007</v>
      </c>
      <c r="X666" s="437">
        <f>W667</f>
        <v>3246.3010000000004</v>
      </c>
      <c r="Y666" s="437">
        <f>X667</f>
        <v>3084.2570000000005</v>
      </c>
      <c r="Z666" s="438">
        <f>U667</f>
        <v>1196.9080000000008</v>
      </c>
      <c r="AA666" s="437">
        <f>Z667</f>
        <v>3393.2159999999999</v>
      </c>
      <c r="AB666" s="437">
        <f>AA667</f>
        <v>4006.5929999999994</v>
      </c>
      <c r="AC666" s="437">
        <f>AB667</f>
        <v>3035.9239999999991</v>
      </c>
      <c r="AD666" s="437">
        <f>AC667</f>
        <v>3530.0299999999993</v>
      </c>
      <c r="AE666" s="438">
        <f>Z667</f>
        <v>3393.2159999999999</v>
      </c>
      <c r="AF666" s="437">
        <v>3964.9589999999998</v>
      </c>
      <c r="AG666" s="437">
        <f>AF667</f>
        <v>3219.7080000000001</v>
      </c>
      <c r="AH666" s="437">
        <f>AG667</f>
        <v>2783.2379999999998</v>
      </c>
      <c r="AI666" s="437">
        <f>AH667</f>
        <v>3522.9659999999994</v>
      </c>
      <c r="AJ666" s="438">
        <f>AF666</f>
        <v>3964.9589999999998</v>
      </c>
      <c r="AK666" s="437">
        <f>AJ667</f>
        <v>4276.387999999999</v>
      </c>
      <c r="AL666" s="437">
        <f>AK667</f>
        <v>2682.7979999999989</v>
      </c>
      <c r="AM666" s="437">
        <f>AL667</f>
        <v>5448.2929999999997</v>
      </c>
      <c r="AN666" s="437">
        <f>AM667</f>
        <v>5826</v>
      </c>
      <c r="AO666" s="438">
        <f>AO576</f>
        <v>4277</v>
      </c>
      <c r="AP666" s="437">
        <f>AO667</f>
        <v>6783</v>
      </c>
      <c r="AQ666" s="437">
        <f>AP667</f>
        <v>8547</v>
      </c>
      <c r="AR666" s="437">
        <f>AQ667</f>
        <v>9106</v>
      </c>
      <c r="AS666" s="437">
        <f>AR667</f>
        <v>15003</v>
      </c>
      <c r="AT666" s="438">
        <f>AT576</f>
        <v>6783</v>
      </c>
      <c r="AU666" s="368">
        <f>AT667</f>
        <v>19901</v>
      </c>
      <c r="AV666" s="368">
        <f>AU667</f>
        <v>17723</v>
      </c>
      <c r="AW666" s="725">
        <f>AV667</f>
        <v>16825</v>
      </c>
      <c r="AX666" s="437">
        <f>AW667</f>
        <v>16694</v>
      </c>
      <c r="AY666" s="438">
        <f>AT667</f>
        <v>19901</v>
      </c>
      <c r="AZ666" s="437">
        <f ca="1">AY667</f>
        <v>17854.070557489635</v>
      </c>
      <c r="BA666" s="437">
        <f ca="1">AZ667</f>
        <v>20167.031639973015</v>
      </c>
      <c r="BB666" s="437">
        <f ca="1">BA667</f>
        <v>23019.861954298995</v>
      </c>
      <c r="BC666" s="437">
        <f ca="1">BB667</f>
        <v>28683.823911835505</v>
      </c>
      <c r="BD666" s="438">
        <f ca="1">AY667</f>
        <v>17854.070557489635</v>
      </c>
      <c r="BE666" s="438">
        <f ca="1">BD667</f>
        <v>31507.21912623672</v>
      </c>
      <c r="BF666" s="438">
        <f ca="1">BE667</f>
        <v>43897.518503970656</v>
      </c>
      <c r="BG666" s="438">
        <f ca="1">BF667</f>
        <v>60476.834588945974</v>
      </c>
      <c r="BH666" s="368"/>
    </row>
    <row r="667" spans="1:60" s="116" customFormat="1" x14ac:dyDescent="0.25">
      <c r="A667" s="530" t="str">
        <f>A577</f>
        <v>Ending Cash Balance</v>
      </c>
      <c r="B667" s="531"/>
      <c r="C667" s="438">
        <f t="shared" ref="C667:AL667" si="715">C666+C664</f>
        <v>69.626999999999995</v>
      </c>
      <c r="D667" s="438">
        <f t="shared" si="715"/>
        <v>99.55800000000005</v>
      </c>
      <c r="E667" s="438">
        <f t="shared" si="715"/>
        <v>255.26600000000005</v>
      </c>
      <c r="F667" s="438">
        <f t="shared" si="715"/>
        <v>201.89000000000001</v>
      </c>
      <c r="G667" s="437">
        <f t="shared" si="715"/>
        <v>214.41700000000003</v>
      </c>
      <c r="H667" s="437">
        <f t="shared" si="715"/>
        <v>746.05700000000024</v>
      </c>
      <c r="I667" s="437">
        <f t="shared" si="715"/>
        <v>795.11600000000033</v>
      </c>
      <c r="J667" s="437">
        <f t="shared" si="715"/>
        <v>845.88900000000035</v>
      </c>
      <c r="K667" s="438">
        <f t="shared" si="715"/>
        <v>845.88900000000024</v>
      </c>
      <c r="L667" s="437">
        <f t="shared" si="715"/>
        <v>2393.9080000000004</v>
      </c>
      <c r="M667" s="437">
        <f t="shared" si="715"/>
        <v>2674.9100000000003</v>
      </c>
      <c r="N667" s="437">
        <f t="shared" si="715"/>
        <v>2370.7350000000001</v>
      </c>
      <c r="O667" s="437">
        <f t="shared" si="715"/>
        <v>1905.7130000000002</v>
      </c>
      <c r="P667" s="438">
        <f t="shared" si="715"/>
        <v>1905.7130000000006</v>
      </c>
      <c r="Q667" s="437">
        <f t="shared" si="715"/>
        <v>1510.0760000000005</v>
      </c>
      <c r="R667" s="437">
        <f t="shared" si="715"/>
        <v>1150.6730000000002</v>
      </c>
      <c r="S667" s="437">
        <f t="shared" si="715"/>
        <v>1426.0360000000003</v>
      </c>
      <c r="T667" s="437">
        <f t="shared" si="715"/>
        <v>1196.9080000000004</v>
      </c>
      <c r="U667" s="438">
        <f t="shared" si="715"/>
        <v>1196.9080000000008</v>
      </c>
      <c r="V667" s="437">
        <f t="shared" si="715"/>
        <v>1441.7890000000007</v>
      </c>
      <c r="W667" s="437">
        <f t="shared" si="715"/>
        <v>3246.3010000000004</v>
      </c>
      <c r="X667" s="437">
        <f t="shared" si="715"/>
        <v>3084.2570000000005</v>
      </c>
      <c r="Y667" s="437">
        <f t="shared" si="715"/>
        <v>3393.2160000000003</v>
      </c>
      <c r="Z667" s="438">
        <f t="shared" si="715"/>
        <v>3393.2159999999999</v>
      </c>
      <c r="AA667" s="437">
        <f t="shared" si="715"/>
        <v>4006.5929999999994</v>
      </c>
      <c r="AB667" s="437">
        <f t="shared" si="715"/>
        <v>3035.9239999999991</v>
      </c>
      <c r="AC667" s="437">
        <f t="shared" si="715"/>
        <v>3530.0299999999993</v>
      </c>
      <c r="AD667" s="437">
        <f t="shared" si="715"/>
        <v>3367.9139999999998</v>
      </c>
      <c r="AE667" s="438">
        <f t="shared" si="715"/>
        <v>3367.9139999999989</v>
      </c>
      <c r="AF667" s="437">
        <f t="shared" si="715"/>
        <v>3219.7080000000001</v>
      </c>
      <c r="AG667" s="437">
        <f t="shared" si="715"/>
        <v>2783.2379999999998</v>
      </c>
      <c r="AH667" s="437">
        <f t="shared" si="715"/>
        <v>3522.9659999999994</v>
      </c>
      <c r="AI667" s="437">
        <f t="shared" si="715"/>
        <v>4276.387999999999</v>
      </c>
      <c r="AJ667" s="438">
        <f t="shared" si="715"/>
        <v>4276.387999999999</v>
      </c>
      <c r="AK667" s="437">
        <f t="shared" si="715"/>
        <v>2682.7979999999989</v>
      </c>
      <c r="AL667" s="437">
        <f t="shared" si="715"/>
        <v>5448.2929999999997</v>
      </c>
      <c r="AM667" s="437">
        <v>5826</v>
      </c>
      <c r="AN667" s="437">
        <f t="shared" ref="AN667:AY667" si="716">AN666+AN664</f>
        <v>6783</v>
      </c>
      <c r="AO667" s="438">
        <f t="shared" si="716"/>
        <v>6783</v>
      </c>
      <c r="AP667" s="437">
        <f t="shared" si="716"/>
        <v>8547</v>
      </c>
      <c r="AQ667" s="437">
        <f t="shared" si="716"/>
        <v>9106</v>
      </c>
      <c r="AR667" s="437">
        <f t="shared" ref="AR667" si="717">AR666+AR664</f>
        <v>15003</v>
      </c>
      <c r="AS667" s="437">
        <f>AS666+AS664</f>
        <v>19901</v>
      </c>
      <c r="AT667" s="438">
        <f>AT666+AT664</f>
        <v>19901</v>
      </c>
      <c r="AU667" s="368">
        <f t="shared" ref="AU667:AW667" si="718">AU666+AU664</f>
        <v>17723</v>
      </c>
      <c r="AV667" s="368">
        <f t="shared" si="718"/>
        <v>16825</v>
      </c>
      <c r="AW667" s="725">
        <f t="shared" si="718"/>
        <v>16694</v>
      </c>
      <c r="AX667" s="437">
        <f t="shared" ca="1" si="716"/>
        <v>17854.070557489635</v>
      </c>
      <c r="AY667" s="438">
        <f t="shared" ca="1" si="716"/>
        <v>17854.070557489635</v>
      </c>
      <c r="AZ667" s="437">
        <f t="shared" ref="AZ667:BG667" ca="1" si="719">AZ666+AZ664</f>
        <v>20167.031639973015</v>
      </c>
      <c r="BA667" s="437">
        <f t="shared" ca="1" si="719"/>
        <v>23019.861954298995</v>
      </c>
      <c r="BB667" s="437">
        <f t="shared" ca="1" si="719"/>
        <v>28683.823911835505</v>
      </c>
      <c r="BC667" s="437">
        <f t="shared" ca="1" si="719"/>
        <v>31507.219126236723</v>
      </c>
      <c r="BD667" s="438">
        <f t="shared" ca="1" si="719"/>
        <v>31507.21912623672</v>
      </c>
      <c r="BE667" s="438">
        <f t="shared" ca="1" si="719"/>
        <v>43897.518503970656</v>
      </c>
      <c r="BF667" s="438">
        <f t="shared" ca="1" si="719"/>
        <v>60476.834588945974</v>
      </c>
      <c r="BG667" s="438">
        <f t="shared" ca="1" si="719"/>
        <v>81968.80515424606</v>
      </c>
      <c r="BH667" s="368"/>
    </row>
    <row r="668" spans="1:60" s="116" customFormat="1" x14ac:dyDescent="0.25">
      <c r="A668" s="530"/>
      <c r="B668" s="531"/>
      <c r="C668" s="438"/>
      <c r="D668" s="438"/>
      <c r="E668" s="438"/>
      <c r="F668" s="438"/>
      <c r="G668" s="437"/>
      <c r="H668" s="437"/>
      <c r="I668" s="437"/>
      <c r="J668" s="437"/>
      <c r="K668" s="438"/>
      <c r="L668" s="437"/>
      <c r="M668" s="437"/>
      <c r="N668" s="437"/>
      <c r="O668" s="437"/>
      <c r="P668" s="438"/>
      <c r="Q668" s="437"/>
      <c r="R668" s="437"/>
      <c r="S668" s="437"/>
      <c r="T668" s="437"/>
      <c r="U668" s="438"/>
      <c r="V668" s="437"/>
      <c r="W668" s="437"/>
      <c r="X668" s="437"/>
      <c r="Y668" s="437"/>
      <c r="Z668" s="438"/>
      <c r="AA668" s="437"/>
      <c r="AB668" s="437"/>
      <c r="AC668" s="437"/>
      <c r="AD668" s="437"/>
      <c r="AE668" s="438"/>
      <c r="AF668" s="437"/>
      <c r="AG668" s="437"/>
      <c r="AH668" s="437"/>
      <c r="AI668" s="437"/>
      <c r="AJ668" s="438"/>
      <c r="AK668" s="437"/>
      <c r="AL668" s="437"/>
      <c r="AM668" s="437"/>
      <c r="AN668" s="437"/>
      <c r="AO668" s="438"/>
      <c r="AP668" s="437"/>
      <c r="AQ668" s="437"/>
      <c r="AR668" s="437"/>
      <c r="AS668" s="437"/>
      <c r="AT668" s="438"/>
      <c r="AU668" s="437"/>
      <c r="AV668" s="437"/>
      <c r="AW668" s="725"/>
      <c r="AX668" s="437"/>
      <c r="AY668" s="438"/>
      <c r="AZ668" s="437"/>
      <c r="BA668" s="437"/>
      <c r="BB668" s="437"/>
      <c r="BC668" s="437"/>
      <c r="BD668" s="438"/>
      <c r="BE668" s="438"/>
      <c r="BF668" s="438"/>
      <c r="BG668" s="438"/>
      <c r="BH668" s="368"/>
    </row>
    <row r="669" spans="1:60" s="356" customFormat="1" x14ac:dyDescent="0.25">
      <c r="A669" s="554" t="s">
        <v>592</v>
      </c>
      <c r="B669" s="450"/>
      <c r="C669" s="440">
        <f t="shared" ref="C669:F670" si="720">C579</f>
        <v>7.0000000000000007E-2</v>
      </c>
      <c r="D669" s="440">
        <f t="shared" si="720"/>
        <v>1.1379999999999999</v>
      </c>
      <c r="E669" s="440">
        <f t="shared" si="720"/>
        <v>3.472</v>
      </c>
      <c r="F669" s="440">
        <f t="shared" si="720"/>
        <v>6.9379999999999997</v>
      </c>
      <c r="G669" s="439"/>
      <c r="H669" s="439"/>
      <c r="I669" s="439"/>
      <c r="J669" s="439"/>
      <c r="K669" s="440">
        <f>K579</f>
        <v>9.0410000000000004</v>
      </c>
      <c r="L669" s="439"/>
      <c r="M669" s="439"/>
      <c r="N669" s="439"/>
      <c r="O669" s="439"/>
      <c r="P669" s="440">
        <f>P579</f>
        <v>20.539000000000001</v>
      </c>
      <c r="Q669" s="439"/>
      <c r="R669" s="439"/>
      <c r="S669" s="439"/>
      <c r="T669" s="439"/>
      <c r="U669" s="440">
        <f>U579</f>
        <v>32.06</v>
      </c>
      <c r="V669" s="439"/>
      <c r="W669" s="439"/>
      <c r="X669" s="439"/>
      <c r="Y669" s="439"/>
      <c r="Z669" s="440">
        <f>Z579</f>
        <v>38.692999999999998</v>
      </c>
      <c r="AA669" s="439"/>
      <c r="AB669" s="439"/>
      <c r="AC669" s="439"/>
      <c r="AD669" s="439"/>
      <c r="AE669" s="440">
        <f>AE579</f>
        <v>182.571</v>
      </c>
      <c r="AF669" s="439"/>
      <c r="AG669" s="439"/>
      <c r="AH669" s="439"/>
      <c r="AI669" s="439"/>
      <c r="AJ669" s="440">
        <f>AJ579</f>
        <v>380.83600000000001</v>
      </c>
      <c r="AK669" s="439"/>
      <c r="AL669" s="439"/>
      <c r="AM669" s="439"/>
      <c r="AN669" s="439"/>
      <c r="AO669" s="440">
        <f>AO579</f>
        <v>455</v>
      </c>
      <c r="AP669" s="439"/>
      <c r="AQ669" s="439"/>
      <c r="AR669" s="439"/>
      <c r="AS669" s="439"/>
      <c r="AT669" s="440">
        <f>AT579</f>
        <v>444</v>
      </c>
      <c r="AU669" s="439"/>
      <c r="AV669" s="439"/>
      <c r="AW669" s="726"/>
      <c r="AX669" s="439"/>
      <c r="AY669" s="440"/>
      <c r="AZ669" s="439"/>
      <c r="BA669" s="439"/>
      <c r="BB669" s="439"/>
      <c r="BC669" s="439"/>
      <c r="BD669" s="440"/>
      <c r="BE669" s="440"/>
      <c r="BF669" s="440"/>
      <c r="BG669" s="440"/>
      <c r="BH669" s="361"/>
    </row>
    <row r="670" spans="1:60" s="356" customFormat="1" x14ac:dyDescent="0.25">
      <c r="A670" s="554" t="s">
        <v>593</v>
      </c>
      <c r="B670" s="450"/>
      <c r="C670" s="440">
        <f t="shared" si="720"/>
        <v>0.17100000000000001</v>
      </c>
      <c r="D670" s="440">
        <f t="shared" si="720"/>
        <v>8.9999999999999993E-3</v>
      </c>
      <c r="E670" s="440">
        <f t="shared" si="720"/>
        <v>0.28199999999999997</v>
      </c>
      <c r="F670" s="440">
        <f t="shared" si="720"/>
        <v>0.11700000000000001</v>
      </c>
      <c r="G670" s="439"/>
      <c r="H670" s="439"/>
      <c r="I670" s="439"/>
      <c r="J670" s="439"/>
      <c r="K670" s="440">
        <f>K580</f>
        <v>0.25700000000000001</v>
      </c>
      <c r="L670" s="439"/>
      <c r="M670" s="439"/>
      <c r="N670" s="439"/>
      <c r="O670" s="439"/>
      <c r="P670" s="440">
        <f>P580</f>
        <v>3.12</v>
      </c>
      <c r="Q670" s="439"/>
      <c r="R670" s="439"/>
      <c r="S670" s="439"/>
      <c r="T670" s="439"/>
      <c r="U670" s="440">
        <f>U580</f>
        <v>9.4610000000000003</v>
      </c>
      <c r="V670" s="439"/>
      <c r="W670" s="439"/>
      <c r="X670" s="439"/>
      <c r="Y670" s="439"/>
      <c r="Z670" s="440">
        <f>Z580</f>
        <v>16.385000000000002</v>
      </c>
      <c r="AA670" s="439"/>
      <c r="AB670" s="439"/>
      <c r="AC670" s="439"/>
      <c r="AD670" s="439"/>
      <c r="AE670" s="440">
        <f>AE580</f>
        <v>65.694999999999993</v>
      </c>
      <c r="AF670" s="439"/>
      <c r="AG670" s="439"/>
      <c r="AH670" s="439"/>
      <c r="AI670" s="439"/>
      <c r="AJ670" s="440">
        <f>AJ580</f>
        <v>35.408999999999999</v>
      </c>
      <c r="AK670" s="439"/>
      <c r="AL670" s="439"/>
      <c r="AM670" s="439"/>
      <c r="AN670" s="439"/>
      <c r="AO670" s="440">
        <f>AO580</f>
        <v>54</v>
      </c>
      <c r="AP670" s="439"/>
      <c r="AQ670" s="439"/>
      <c r="AR670" s="439"/>
      <c r="AS670" s="439"/>
      <c r="AT670" s="440">
        <f>AT580</f>
        <v>115</v>
      </c>
      <c r="AU670" s="439"/>
      <c r="AV670" s="439"/>
      <c r="AW670" s="726"/>
      <c r="AX670" s="439"/>
      <c r="AY670" s="440"/>
      <c r="AZ670" s="439"/>
      <c r="BA670" s="439"/>
      <c r="BB670" s="439"/>
      <c r="BC670" s="439"/>
      <c r="BD670" s="440"/>
      <c r="BE670" s="440"/>
      <c r="BF670" s="440"/>
      <c r="BG670" s="440"/>
      <c r="BH670" s="361"/>
    </row>
    <row r="671" spans="1:60" s="112" customFormat="1" x14ac:dyDescent="0.25">
      <c r="A671" s="506"/>
      <c r="B671" s="507"/>
      <c r="C671" s="1045"/>
      <c r="D671" s="1045"/>
      <c r="E671" s="1045"/>
      <c r="F671" s="1045"/>
      <c r="G671" s="1046"/>
      <c r="H671" s="1046"/>
      <c r="I671" s="1046"/>
      <c r="J671" s="1046"/>
      <c r="K671" s="1045"/>
      <c r="L671" s="1046"/>
      <c r="M671" s="1046"/>
      <c r="N671" s="1046"/>
      <c r="O671" s="1046"/>
      <c r="P671" s="1045"/>
      <c r="Q671" s="1046"/>
      <c r="R671" s="1046"/>
      <c r="S671" s="1046"/>
      <c r="T671" s="1046"/>
      <c r="U671" s="1045"/>
      <c r="V671" s="1046"/>
      <c r="W671" s="1046"/>
      <c r="X671" s="1046"/>
      <c r="Y671" s="1046"/>
      <c r="Z671" s="1045"/>
      <c r="AA671" s="1046"/>
      <c r="AB671" s="1046"/>
      <c r="AC671" s="1046"/>
      <c r="AD671" s="1046"/>
      <c r="AE671" s="1045"/>
      <c r="AF671" s="1046"/>
      <c r="AG671" s="1046"/>
      <c r="AH671" s="1046"/>
      <c r="AI671" s="1046"/>
      <c r="AJ671" s="1045"/>
      <c r="AK671" s="1046"/>
      <c r="AL671" s="1046"/>
      <c r="AM671" s="1046"/>
      <c r="AN671" s="1046"/>
      <c r="AO671" s="1045"/>
      <c r="AP671" s="1046"/>
      <c r="AQ671" s="1046"/>
      <c r="AR671" s="1046"/>
      <c r="AS671" s="1046"/>
      <c r="AT671" s="1045"/>
      <c r="AU671" s="1046"/>
      <c r="AV671" s="1046"/>
      <c r="AW671" s="1047"/>
      <c r="AX671" s="1046"/>
      <c r="AY671" s="1045"/>
      <c r="AZ671" s="1046"/>
      <c r="BA671" s="1046"/>
      <c r="BB671" s="1046"/>
      <c r="BC671" s="1046"/>
      <c r="BD671" s="1045"/>
      <c r="BE671" s="1045"/>
      <c r="BF671" s="1045"/>
      <c r="BG671" s="1045"/>
      <c r="BH671" s="1034"/>
    </row>
    <row r="672" spans="1:60" s="109" customFormat="1" x14ac:dyDescent="0.25">
      <c r="A672" s="65" t="s">
        <v>240</v>
      </c>
      <c r="B672" s="65"/>
      <c r="C672" s="1072">
        <f t="shared" ref="C672:AE672" si="721">ROUND(C667-C715,6)</f>
        <v>0</v>
      </c>
      <c r="D672" s="1072">
        <f t="shared" si="721"/>
        <v>0</v>
      </c>
      <c r="E672" s="1072">
        <f t="shared" si="721"/>
        <v>0</v>
      </c>
      <c r="F672" s="1072">
        <f t="shared" si="721"/>
        <v>0</v>
      </c>
      <c r="G672" s="1072">
        <f t="shared" si="721"/>
        <v>0</v>
      </c>
      <c r="H672" s="1072">
        <f t="shared" si="721"/>
        <v>0</v>
      </c>
      <c r="I672" s="1072">
        <f t="shared" si="721"/>
        <v>0</v>
      </c>
      <c r="J672" s="1072">
        <f t="shared" si="721"/>
        <v>0</v>
      </c>
      <c r="K672" s="1072">
        <f t="shared" si="721"/>
        <v>0</v>
      </c>
      <c r="L672" s="1072">
        <f t="shared" si="721"/>
        <v>0</v>
      </c>
      <c r="M672" s="1072">
        <f t="shared" si="721"/>
        <v>0</v>
      </c>
      <c r="N672" s="1072">
        <f t="shared" si="721"/>
        <v>0</v>
      </c>
      <c r="O672" s="1072">
        <f t="shared" si="721"/>
        <v>0</v>
      </c>
      <c r="P672" s="1072">
        <f t="shared" si="721"/>
        <v>0</v>
      </c>
      <c r="Q672" s="1072">
        <f t="shared" si="721"/>
        <v>0</v>
      </c>
      <c r="R672" s="1072">
        <f t="shared" si="721"/>
        <v>0</v>
      </c>
      <c r="S672" s="1072">
        <f t="shared" si="721"/>
        <v>0</v>
      </c>
      <c r="T672" s="1072">
        <f t="shared" si="721"/>
        <v>0</v>
      </c>
      <c r="U672" s="1072">
        <f t="shared" si="721"/>
        <v>0</v>
      </c>
      <c r="V672" s="1072">
        <f t="shared" si="721"/>
        <v>0</v>
      </c>
      <c r="W672" s="1072">
        <f t="shared" si="721"/>
        <v>0</v>
      </c>
      <c r="X672" s="1072">
        <f t="shared" si="721"/>
        <v>0</v>
      </c>
      <c r="Y672" s="1072">
        <f t="shared" si="721"/>
        <v>0</v>
      </c>
      <c r="Z672" s="1072">
        <f t="shared" si="721"/>
        <v>0</v>
      </c>
      <c r="AA672" s="1072">
        <f t="shared" si="721"/>
        <v>0</v>
      </c>
      <c r="AB672" s="1072">
        <f t="shared" si="721"/>
        <v>0</v>
      </c>
      <c r="AC672" s="1072">
        <f t="shared" si="721"/>
        <v>0</v>
      </c>
      <c r="AD672" s="1072">
        <f t="shared" si="721"/>
        <v>0</v>
      </c>
      <c r="AE672" s="1072">
        <f t="shared" si="721"/>
        <v>0</v>
      </c>
      <c r="AF672" s="1072">
        <f t="shared" ref="AF672:BG672" si="722">ROUND(AF667-AF715-AF717-AF746,6)</f>
        <v>0</v>
      </c>
      <c r="AG672" s="1072">
        <f t="shared" si="722"/>
        <v>0</v>
      </c>
      <c r="AH672" s="1072">
        <f t="shared" si="722"/>
        <v>0</v>
      </c>
      <c r="AI672" s="1072">
        <f t="shared" si="722"/>
        <v>0</v>
      </c>
      <c r="AJ672" s="1072">
        <f t="shared" si="722"/>
        <v>0</v>
      </c>
      <c r="AK672" s="1072">
        <f t="shared" si="722"/>
        <v>0</v>
      </c>
      <c r="AL672" s="1072">
        <f t="shared" si="722"/>
        <v>0</v>
      </c>
      <c r="AM672" s="1072">
        <f t="shared" si="722"/>
        <v>0</v>
      </c>
      <c r="AN672" s="1072">
        <f t="shared" si="722"/>
        <v>0</v>
      </c>
      <c r="AO672" s="1072">
        <f t="shared" si="722"/>
        <v>0</v>
      </c>
      <c r="AP672" s="1072">
        <f t="shared" si="722"/>
        <v>0</v>
      </c>
      <c r="AQ672" s="1072">
        <f t="shared" si="722"/>
        <v>0</v>
      </c>
      <c r="AR672" s="1072">
        <f t="shared" si="722"/>
        <v>0</v>
      </c>
      <c r="AS672" s="1072">
        <f t="shared" si="722"/>
        <v>0</v>
      </c>
      <c r="AT672" s="1072">
        <f t="shared" si="722"/>
        <v>0</v>
      </c>
      <c r="AU672" s="1072">
        <f t="shared" si="722"/>
        <v>0</v>
      </c>
      <c r="AV672" s="1072">
        <f t="shared" si="722"/>
        <v>0</v>
      </c>
      <c r="AW672" s="1073">
        <f>ROUND(AW667-AW715-AW717-AW746,6)</f>
        <v>0</v>
      </c>
      <c r="AX672" s="1072">
        <f t="shared" ca="1" si="722"/>
        <v>0</v>
      </c>
      <c r="AY672" s="1072">
        <f t="shared" ca="1" si="722"/>
        <v>0</v>
      </c>
      <c r="AZ672" s="1072">
        <f t="shared" ca="1" si="722"/>
        <v>0</v>
      </c>
      <c r="BA672" s="1072">
        <f t="shared" ca="1" si="722"/>
        <v>0</v>
      </c>
      <c r="BB672" s="1072">
        <f t="shared" ca="1" si="722"/>
        <v>0</v>
      </c>
      <c r="BC672" s="1072">
        <f t="shared" ca="1" si="722"/>
        <v>0</v>
      </c>
      <c r="BD672" s="1072">
        <f t="shared" ca="1" si="722"/>
        <v>0</v>
      </c>
      <c r="BE672" s="1072">
        <f t="shared" ca="1" si="722"/>
        <v>0</v>
      </c>
      <c r="BF672" s="1072">
        <f t="shared" ca="1" si="722"/>
        <v>0</v>
      </c>
      <c r="BG672" s="1072">
        <f t="shared" ca="1" si="722"/>
        <v>0</v>
      </c>
      <c r="BH672" s="1024"/>
    </row>
    <row r="673" spans="1:60" s="112" customFormat="1" x14ac:dyDescent="0.25">
      <c r="A673" s="506"/>
      <c r="B673" s="507"/>
      <c r="C673" s="1045"/>
      <c r="D673" s="1045"/>
      <c r="E673" s="1045"/>
      <c r="F673" s="1045"/>
      <c r="G673" s="1046"/>
      <c r="H673" s="1046"/>
      <c r="I673" s="1046"/>
      <c r="J673" s="1046"/>
      <c r="K673" s="1045"/>
      <c r="L673" s="1046"/>
      <c r="M673" s="1046"/>
      <c r="N673" s="1046"/>
      <c r="O673" s="1046"/>
      <c r="P673" s="1045"/>
      <c r="Q673" s="1046"/>
      <c r="R673" s="1046"/>
      <c r="S673" s="1046"/>
      <c r="T673" s="1046"/>
      <c r="U673" s="1045"/>
      <c r="V673" s="1046"/>
      <c r="W673" s="1046"/>
      <c r="X673" s="1046"/>
      <c r="Y673" s="1046"/>
      <c r="Z673" s="1045"/>
      <c r="AA673" s="1046"/>
      <c r="AB673" s="1046"/>
      <c r="AC673" s="1046"/>
      <c r="AD673" s="1046"/>
      <c r="AE673" s="1045"/>
      <c r="AF673" s="1046"/>
      <c r="AG673" s="1046"/>
      <c r="AH673" s="1046"/>
      <c r="AI673" s="1046"/>
      <c r="AJ673" s="1045"/>
      <c r="AK673" s="1046"/>
      <c r="AL673" s="1046"/>
      <c r="AM673" s="1046"/>
      <c r="AN673" s="1046"/>
      <c r="AO673" s="1045"/>
      <c r="AP673" s="1046"/>
      <c r="AQ673" s="1046"/>
      <c r="AR673" s="1046"/>
      <c r="AS673" s="1046"/>
      <c r="AT673" s="1045"/>
      <c r="AU673" s="1046"/>
      <c r="AV673" s="1046"/>
      <c r="AW673" s="1047"/>
      <c r="AX673" s="1046"/>
      <c r="AY673" s="1045"/>
      <c r="AZ673" s="1046"/>
      <c r="BA673" s="1046"/>
      <c r="BB673" s="1046"/>
      <c r="BC673" s="1046"/>
      <c r="BD673" s="1045"/>
      <c r="BE673" s="1045"/>
      <c r="BF673" s="1045"/>
      <c r="BG673" s="1045"/>
      <c r="BH673" s="1034"/>
    </row>
    <row r="674" spans="1:60" s="112" customFormat="1" x14ac:dyDescent="0.25">
      <c r="A674" s="396" t="s">
        <v>241</v>
      </c>
      <c r="B674" s="397"/>
      <c r="C674" s="1043"/>
      <c r="D674" s="1043"/>
      <c r="E674" s="1043"/>
      <c r="F674" s="1043"/>
      <c r="G674" s="1043"/>
      <c r="H674" s="1043"/>
      <c r="I674" s="1043"/>
      <c r="J674" s="1043"/>
      <c r="K674" s="1043"/>
      <c r="L674" s="1043"/>
      <c r="M674" s="1043"/>
      <c r="N674" s="1043"/>
      <c r="O674" s="1043"/>
      <c r="P674" s="1043"/>
      <c r="Q674" s="1043"/>
      <c r="R674" s="1043"/>
      <c r="S674" s="1043"/>
      <c r="T674" s="1043"/>
      <c r="U674" s="1043"/>
      <c r="V674" s="1043"/>
      <c r="W674" s="1043"/>
      <c r="X674" s="1043"/>
      <c r="Y674" s="1043"/>
      <c r="Z674" s="1043"/>
      <c r="AA674" s="1043"/>
      <c r="AB674" s="1043"/>
      <c r="AC674" s="1043"/>
      <c r="AD674" s="1043"/>
      <c r="AE674" s="1043"/>
      <c r="AF674" s="1043"/>
      <c r="AG674" s="1043"/>
      <c r="AH674" s="1043"/>
      <c r="AI674" s="1043"/>
      <c r="AJ674" s="1043"/>
      <c r="AK674" s="1043"/>
      <c r="AL674" s="1043"/>
      <c r="AM674" s="1043"/>
      <c r="AN674" s="1043"/>
      <c r="AO674" s="1043"/>
      <c r="AP674" s="1043"/>
      <c r="AQ674" s="1043"/>
      <c r="AR674" s="1043"/>
      <c r="AS674" s="1043"/>
      <c r="AT674" s="1043"/>
      <c r="AU674" s="1043"/>
      <c r="AV674" s="1043"/>
      <c r="AW674" s="1044"/>
      <c r="AX674" s="1043"/>
      <c r="AY674" s="1043"/>
      <c r="AZ674" s="1043"/>
      <c r="BA674" s="1043"/>
      <c r="BB674" s="1043"/>
      <c r="BC674" s="1043"/>
      <c r="BD674" s="1043"/>
      <c r="BE674" s="1043"/>
      <c r="BF674" s="1043"/>
      <c r="BG674" s="1043"/>
      <c r="BH674" s="1034"/>
    </row>
    <row r="675" spans="1:60" s="114" customFormat="1" x14ac:dyDescent="0.25">
      <c r="A675" s="227" t="s">
        <v>242</v>
      </c>
      <c r="B675" s="665"/>
      <c r="C675" s="85">
        <f t="shared" ref="C675:F675" si="723">C718/C$381</f>
        <v>3.1158714703018502E-2</v>
      </c>
      <c r="D675" s="85">
        <f t="shared" si="723"/>
        <v>5.7476187213047349E-2</v>
      </c>
      <c r="E675" s="85">
        <f t="shared" si="723"/>
        <v>4.6704399682729304E-2</v>
      </c>
      <c r="F675" s="85">
        <f t="shared" si="723"/>
        <v>6.4952474979189642E-2</v>
      </c>
      <c r="G675" s="370"/>
      <c r="H675" s="370"/>
      <c r="I675" s="370"/>
      <c r="J675" s="370"/>
      <c r="K675" s="85">
        <f>K718/K$381</f>
        <v>2.4389916841155879E-2</v>
      </c>
      <c r="L675" s="365">
        <f>L718/(L$381+J$381+I$381+H$381)</f>
        <v>3.4928285541388424E-2</v>
      </c>
      <c r="M675" s="365">
        <f>M718/(M$381+L$381+J$381+I$381)</f>
        <v>3.9650623692773439E-2</v>
      </c>
      <c r="N675" s="365">
        <f>N718/(N$381+M$381+L$381+J$381)</f>
        <v>5.491554873545372E-2</v>
      </c>
      <c r="O675" s="365">
        <f>O718/(O$381+N$381+M$381+L$381)</f>
        <v>7.0850149264184481E-2</v>
      </c>
      <c r="P675" s="85">
        <f>P718/P$381</f>
        <v>7.0850149264184467E-2</v>
      </c>
      <c r="Q675" s="365">
        <f>Q718/(Q$381+O$381+N$381+M$381)</f>
        <v>5.687021099618101E-2</v>
      </c>
      <c r="R675" s="365">
        <f>R718/(R$381+Q$381+O$381+N$381)</f>
        <v>3.7438828554154494E-2</v>
      </c>
      <c r="S675" s="365">
        <f>S718/(S$381+R$381+Q$381+O$381)</f>
        <v>3.1666924477589717E-2</v>
      </c>
      <c r="T675" s="365">
        <f>T718/(T$381+S$381+R$381+Q$381)</f>
        <v>4.1760740479853682E-2</v>
      </c>
      <c r="U675" s="85">
        <f>U718/U$381</f>
        <v>4.1760740479853682E-2</v>
      </c>
      <c r="V675" s="365">
        <f>V718/(V$381+T$381+S$381+R$381)</f>
        <v>7.478052371477148E-2</v>
      </c>
      <c r="W675" s="371">
        <f>W718/(W$381+V$381+T$381+S$381)</f>
        <v>3.9094757405159192E-2</v>
      </c>
      <c r="X675" s="371">
        <f>X718/(X$381+W$381+V$381+T$381)</f>
        <v>5.5126738631011314E-2</v>
      </c>
      <c r="Y675" s="365">
        <f>Y718/(Y$381+X$381+W$381+V$381)</f>
        <v>7.1304655397926797E-2</v>
      </c>
      <c r="Z675" s="85">
        <f>Z718/Z$381</f>
        <v>7.1304655397926783E-2</v>
      </c>
      <c r="AA675" s="365">
        <f>AA718/(AA$381+Y$381+X$381+W$381)</f>
        <v>5.1506698634774042E-2</v>
      </c>
      <c r="AB675" s="371">
        <f>AB718/(AB$381+AA$381+Y$381+X$381)</f>
        <v>4.5043576782117289E-2</v>
      </c>
      <c r="AC675" s="371">
        <f>AC718/(AC$381+AB$381+AA$381+Y$381)</f>
        <v>5.650641419311133E-2</v>
      </c>
      <c r="AD675" s="365">
        <f>AD718/(AD$381+AC$381+AB$381+AA$381)</f>
        <v>4.3829569994296158E-2</v>
      </c>
      <c r="AE675" s="85">
        <f>AE718/AE$381</f>
        <v>4.3829569994296158E-2</v>
      </c>
      <c r="AF675" s="365">
        <f>AF718/(AF$381+AD$381+AC$381+AB$381)</f>
        <v>5.2348316509547729E-2</v>
      </c>
      <c r="AG675" s="371">
        <f>AG718/(AG$381+AF$381+AD$381+AC$381)</f>
        <v>4.1645565235540208E-2</v>
      </c>
      <c r="AH675" s="371">
        <f>AH718/(AH$381+AG$381+AF$381+AD$381)</f>
        <v>6.5911005724608424E-2</v>
      </c>
      <c r="AI675" s="365">
        <f>AI718/(AI$381+AH$381+AG$381+AF$381)</f>
        <v>4.4220220352310963E-2</v>
      </c>
      <c r="AJ675" s="85">
        <f>AJ718/AJ$381</f>
        <v>4.4220220352310963E-2</v>
      </c>
      <c r="AK675" s="365">
        <f>AK718/(AK$381+AI$381+AH$381+AG$381)</f>
        <v>4.6337340905084408E-2</v>
      </c>
      <c r="AL675" s="371">
        <f>AL718/(AL$381+AK$381+AI$381+AH$381)</f>
        <v>4.5991756846621358E-2</v>
      </c>
      <c r="AM675" s="371">
        <f>AM718/(AM$381+AL$381+AK$381+AI$381)</f>
        <v>4.6191621601511842E-2</v>
      </c>
      <c r="AN675" s="365">
        <f>AN718/(AN$381+AM$381+AL$381+AK$381)</f>
        <v>5.3869314020668892E-2</v>
      </c>
      <c r="AO675" s="85">
        <f>AO718/AO$381</f>
        <v>5.3869314020668892E-2</v>
      </c>
      <c r="AP675" s="365">
        <f>AP718/(AP$381+AN$381+AM$381+AL$381)</f>
        <v>4.8959446513841459E-2</v>
      </c>
      <c r="AQ675" s="371">
        <f>AQ718/(AQ$381+AP$381+AN$381+AM$381)</f>
        <v>5.7764434690402079E-2</v>
      </c>
      <c r="AR675" s="371">
        <f>AR718/(AR$381+AQ$381+AP$381+AN$381)</f>
        <v>6.2358345051402156E-2</v>
      </c>
      <c r="AS675" s="365">
        <f>AS718/(AS$381+AR$381+AQ$381+AP$381)</f>
        <v>5.9804667681380007E-2</v>
      </c>
      <c r="AT675" s="85">
        <f>AT718/AT$381</f>
        <v>5.9804667681380007E-2</v>
      </c>
      <c r="AU675" s="365">
        <f>AU718/(AU$381+AS$381+AR$381+AQ$381)</f>
        <v>5.2587646076794656E-2</v>
      </c>
      <c r="AV675" s="371">
        <f>AV718/(AV$381+AU$381+AS$381+AR$381)</f>
        <v>5.0857579666523337E-2</v>
      </c>
      <c r="AW675" s="798">
        <f>AW718/(AW$381+AV$381+AU$381+AS$381)</f>
        <v>4.1880122950819672E-2</v>
      </c>
      <c r="AX675" s="365">
        <f t="shared" ref="AX675:AX681" si="724">AS675+AX683</f>
        <v>5.9804667681380007E-2</v>
      </c>
      <c r="AY675" s="85">
        <f>AY718/AY$381</f>
        <v>5.9804667681380007E-2</v>
      </c>
      <c r="AZ675" s="365">
        <f t="shared" ref="AZ675:BC681" si="725">AU675+AZ683</f>
        <v>5.2587646076794656E-2</v>
      </c>
      <c r="BA675" s="365">
        <f t="shared" si="725"/>
        <v>5.0857579666523337E-2</v>
      </c>
      <c r="BB675" s="365">
        <f t="shared" si="725"/>
        <v>4.1880122950819672E-2</v>
      </c>
      <c r="BC675" s="365">
        <f t="shared" si="725"/>
        <v>5.9804667681380007E-2</v>
      </c>
      <c r="BD675" s="85">
        <f>BD718/BD$381</f>
        <v>5.9804667681380007E-2</v>
      </c>
      <c r="BE675" s="85">
        <f t="shared" ref="BE675:BG681" si="726">BD675+BE683</f>
        <v>5.9804667681380007E-2</v>
      </c>
      <c r="BF675" s="85">
        <f t="shared" si="726"/>
        <v>5.9804667681380007E-2</v>
      </c>
      <c r="BG675" s="85">
        <f t="shared" si="726"/>
        <v>5.9804667681380007E-2</v>
      </c>
      <c r="BH675" s="365"/>
    </row>
    <row r="676" spans="1:60" s="114" customFormat="1" x14ac:dyDescent="0.25">
      <c r="A676" s="227" t="s">
        <v>243</v>
      </c>
      <c r="B676" s="665"/>
      <c r="C676" s="85">
        <f t="shared" ref="C676:F677" si="727">C723/C$381</f>
        <v>0.20744486033070403</v>
      </c>
      <c r="D676" s="85">
        <f t="shared" si="727"/>
        <v>0.38701774823545537</v>
      </c>
      <c r="E676" s="85">
        <f t="shared" si="727"/>
        <v>0.24520911467768625</v>
      </c>
      <c r="F676" s="85">
        <f t="shared" si="727"/>
        <v>0.6497280136283563</v>
      </c>
      <c r="G676" s="370"/>
      <c r="H676" s="370"/>
      <c r="I676" s="370"/>
      <c r="J676" s="370"/>
      <c r="K676" s="85">
        <f>K723/K$381</f>
        <v>0.16903683940767697</v>
      </c>
      <c r="L676" s="365">
        <f>L723/(L$381+J$381+I$381+H$381)</f>
        <v>0.21750795996228245</v>
      </c>
      <c r="M676" s="365">
        <f>M723/(M$381+L$381+J$381+I$381)</f>
        <v>0.24499806276000879</v>
      </c>
      <c r="N676" s="365">
        <f>N723/(N$381+M$381+L$381+J$381)</f>
        <v>0.26339329780315401</v>
      </c>
      <c r="O676" s="365">
        <f>O723/(O$381+N$381+M$381+L$381)</f>
        <v>0.29817662574147469</v>
      </c>
      <c r="P676" s="85">
        <f>P723/P$381</f>
        <v>0.29817662574147463</v>
      </c>
      <c r="Q676" s="365">
        <f>Q723/(Q$381+O$381+N$381+M$381)</f>
        <v>0.29986690144168304</v>
      </c>
      <c r="R676" s="365">
        <f>R723/(R$381+Q$381+O$381+N$381)</f>
        <v>0.3273491549881849</v>
      </c>
      <c r="S676" s="365">
        <f>S723/(S$381+R$381+Q$381+O$381)</f>
        <v>0.34150277195136819</v>
      </c>
      <c r="T676" s="365">
        <f>T723/(T$381+S$381+R$381+Q$381)</f>
        <v>0.31582553246705097</v>
      </c>
      <c r="U676" s="85">
        <f>U723/U$381</f>
        <v>0.31582553246705097</v>
      </c>
      <c r="V676" s="365">
        <f>V723/(V$381+T$381+S$381+R$381)</f>
        <v>0.30611378322121763</v>
      </c>
      <c r="W676" s="371">
        <f>W723/(W$381+V$381+T$381+S$381)</f>
        <v>0.35234775626642589</v>
      </c>
      <c r="X676" s="371">
        <f>X723/(X$381+W$381+V$381+T$381)</f>
        <v>0.27059075890393081</v>
      </c>
      <c r="Y676" s="365">
        <f>Y723/(Y$381+X$381+W$381+V$381)</f>
        <v>0.29534500206567543</v>
      </c>
      <c r="Z676" s="85">
        <f>Z723/Z$381</f>
        <v>0.29534500206567538</v>
      </c>
      <c r="AA676" s="365">
        <f>AA723/(AA$381+Y$381+X$381+W$381)</f>
        <v>0.25970804343813586</v>
      </c>
      <c r="AB676" s="371">
        <f>AB723/(AB$381+AA$381+Y$381+X$381)</f>
        <v>0.24214288083676322</v>
      </c>
      <c r="AC676" s="371">
        <f>AC723/(AC$381+AB$381+AA$381+Y$381)</f>
        <v>0.2297862797233656</v>
      </c>
      <c r="AD676" s="365">
        <f>AD723/(AD$381+AC$381+AB$381+AA$381)</f>
        <v>0.19249808079106359</v>
      </c>
      <c r="AE676" s="85">
        <f>AE723/AE$381</f>
        <v>0.19249808079106359</v>
      </c>
      <c r="AF676" s="365">
        <f>AF723/(AF$381+AD$381+AC$381+AB$381)</f>
        <v>0.20573957729276465</v>
      </c>
      <c r="AG676" s="371">
        <f>AG723/(AG$381+AF$381+AD$381+AC$381)</f>
        <v>0.242960087565641</v>
      </c>
      <c r="AH676" s="371">
        <f>AH723/(AH$381+AG$381+AF$381+AD$381)</f>
        <v>0.1891231641090175</v>
      </c>
      <c r="AI676" s="365">
        <f>AI723/(AI$381+AH$381+AG$381+AF$381)</f>
        <v>0.14507278880260011</v>
      </c>
      <c r="AJ676" s="85">
        <f>AJ723/AJ$381</f>
        <v>0.14507278880260011</v>
      </c>
      <c r="AK676" s="365">
        <f>AK723/(AK$381+AI$381+AH$381+AG$381)</f>
        <v>0.16981735091305955</v>
      </c>
      <c r="AL676" s="371">
        <f>AL723/(AL$381+AK$381+AI$381+AH$381)</f>
        <v>0.13561205361714282</v>
      </c>
      <c r="AM676" s="371">
        <f>AM723/(AM$381+AL$381+AK$381+AI$381)</f>
        <v>0.14664201857713999</v>
      </c>
      <c r="AN676" s="365">
        <f>AN723/(AN$381+AM$381+AL$381+AK$381)</f>
        <v>0.14451948897387909</v>
      </c>
      <c r="AO676" s="85">
        <f>AO723/AO$381</f>
        <v>0.14451948897387909</v>
      </c>
      <c r="AP676" s="365">
        <f>AP723/(AP$381+AN$381+AM$381+AL$381)</f>
        <v>0.17270310253783636</v>
      </c>
      <c r="AQ676" s="371">
        <f>AQ723/(AQ$381+AP$381+AN$381+AM$381)</f>
        <v>0.15629461184244819</v>
      </c>
      <c r="AR676" s="371">
        <f>AR723/(AR$381+AQ$381+AP$381+AN$381)</f>
        <v>0.14970261777280267</v>
      </c>
      <c r="AS676" s="365">
        <f>AS723/(AS$381+AR$381+AQ$381+AP$381)</f>
        <v>0.13004185692541856</v>
      </c>
      <c r="AT676" s="85">
        <f>AT723/AT$381</f>
        <v>0.13004185692541856</v>
      </c>
      <c r="AU676" s="365">
        <f>AU723/(AU$381+AS$381+AR$381+AQ$381)</f>
        <v>0.11496939343350028</v>
      </c>
      <c r="AV676" s="371">
        <f>AV723/(AV$381+AU$381+AS$381+AR$381)</f>
        <v>0.11306196550570924</v>
      </c>
      <c r="AW676" s="798">
        <f>AW723/(AW$381+AV$381+AU$381+AS$381)</f>
        <v>0.11097592213114754</v>
      </c>
      <c r="AX676" s="365">
        <f t="shared" si="724"/>
        <v>0.13004185692541856</v>
      </c>
      <c r="AY676" s="85">
        <f>AY723/AY$381</f>
        <v>0.13004185692541856</v>
      </c>
      <c r="AZ676" s="365">
        <f t="shared" si="725"/>
        <v>0.11496939343350028</v>
      </c>
      <c r="BA676" s="365">
        <f t="shared" si="725"/>
        <v>0.11306196550570924</v>
      </c>
      <c r="BB676" s="365">
        <f t="shared" si="725"/>
        <v>0.11097592213114754</v>
      </c>
      <c r="BC676" s="365">
        <f t="shared" si="725"/>
        <v>0.13004185692541856</v>
      </c>
      <c r="BD676" s="85">
        <f>BD723/BD$381</f>
        <v>0.13004185692541856</v>
      </c>
      <c r="BE676" s="85">
        <f t="shared" si="726"/>
        <v>0.13004185692541856</v>
      </c>
      <c r="BF676" s="85">
        <f t="shared" si="726"/>
        <v>0.13004185692541856</v>
      </c>
      <c r="BG676" s="85">
        <f t="shared" si="726"/>
        <v>0.13004185692541856</v>
      </c>
      <c r="BH676" s="365"/>
    </row>
    <row r="677" spans="1:60" s="114" customFormat="1" x14ac:dyDescent="0.25">
      <c r="A677" s="227" t="s">
        <v>244</v>
      </c>
      <c r="B677" s="665"/>
      <c r="C677" s="85">
        <f t="shared" si="727"/>
        <v>3.7715623129628478E-2</v>
      </c>
      <c r="D677" s="85">
        <f t="shared" si="727"/>
        <v>9.2844171863222094E-2</v>
      </c>
      <c r="E677" s="85">
        <f t="shared" si="727"/>
        <v>4.609238060731876E-2</v>
      </c>
      <c r="F677" s="85">
        <f t="shared" si="727"/>
        <v>2.041833633389473E-2</v>
      </c>
      <c r="G677" s="370"/>
      <c r="H677" s="370"/>
      <c r="I677" s="370"/>
      <c r="J677" s="370"/>
      <c r="K677" s="85">
        <f>K724/K$381</f>
        <v>1.3694588914008272E-2</v>
      </c>
      <c r="L677" s="365">
        <f>L724/(L$381+J$381+I$381+H$381)</f>
        <v>2.358262484280341E-2</v>
      </c>
      <c r="M677" s="365">
        <f>M724/(M$381+L$381+J$381+I$381)</f>
        <v>2.5256355953072823E-2</v>
      </c>
      <c r="N677" s="365">
        <f>N724/(N$381+M$381+L$381+J$381)</f>
        <v>2.2915285514369704E-2</v>
      </c>
      <c r="O677" s="365">
        <f>O724/(O$381+N$381+M$381+L$381)</f>
        <v>2.3804104358614239E-2</v>
      </c>
      <c r="P677" s="85">
        <f>P724/P$381</f>
        <v>2.3804104358614235E-2</v>
      </c>
      <c r="Q677" s="365">
        <f>Q724/(Q$381+O$381+N$381+M$381)</f>
        <v>3.8592327814755911E-2</v>
      </c>
      <c r="R677" s="365">
        <f>R724/(R$381+Q$381+O$381+N$381)</f>
        <v>2.8739069608062599E-2</v>
      </c>
      <c r="S677" s="365">
        <f>S724/(S$381+R$381+Q$381+O$381)</f>
        <v>3.5333734920040778E-2</v>
      </c>
      <c r="T677" s="365">
        <f>T724/(T$381+S$381+R$381+Q$381)</f>
        <v>3.0951118690566666E-2</v>
      </c>
      <c r="U677" s="85">
        <f>U724/U$381</f>
        <v>3.0951118690566666E-2</v>
      </c>
      <c r="V677" s="365">
        <f>V724/(V$381+T$381+S$381+R$381)</f>
        <v>3.6150957645232656E-2</v>
      </c>
      <c r="W677" s="371">
        <f>W724/(W$381+V$381+T$381+S$381)</f>
        <v>3.1670444202289108E-2</v>
      </c>
      <c r="X677" s="371">
        <f>X724/(X$381+W$381+V$381+T$381)</f>
        <v>2.2425070587419885E-2</v>
      </c>
      <c r="Y677" s="365">
        <f>Y724/(Y$381+X$381+W$381+V$381)</f>
        <v>2.778019043069474E-2</v>
      </c>
      <c r="Z677" s="85">
        <f>Z724/Z$381</f>
        <v>2.7780190430694737E-2</v>
      </c>
      <c r="AA677" s="365">
        <f>AA724/(AA$381+Y$381+X$381+W$381)</f>
        <v>3.1776085070287188E-2</v>
      </c>
      <c r="AB677" s="371">
        <f>AB724/(AB$381+AA$381+Y$381+X$381)</f>
        <v>3.1135594435694726E-2</v>
      </c>
      <c r="AC677" s="371">
        <f>AC724/(AC$381+AB$381+AA$381+Y$381)</f>
        <v>2.9883963313145454E-2</v>
      </c>
      <c r="AD677" s="365">
        <f>AD724/(AD$381+AC$381+AB$381+AA$381)</f>
        <v>2.2822576989681983E-2</v>
      </c>
      <c r="AE677" s="85">
        <f>AE724/AE$381</f>
        <v>2.2822576989681983E-2</v>
      </c>
      <c r="AF677" s="365">
        <f>AF724/(AF$381+AD$381+AC$381+AB$381)</f>
        <v>3.0420330565576841E-2</v>
      </c>
      <c r="AG677" s="371">
        <f>AG724/(AG$381+AF$381+AD$381+AC$381)</f>
        <v>3.0841632498790916E-2</v>
      </c>
      <c r="AH677" s="371">
        <f>AH724/(AH$381+AG$381+AF$381+AD$381)</f>
        <v>1.8559610090230091E-2</v>
      </c>
      <c r="AI677" s="365">
        <f>AI724/(AI$381+AH$381+AG$381+AF$381)</f>
        <v>1.7038648415368559E-2</v>
      </c>
      <c r="AJ677" s="85">
        <f>AJ724/AJ$381</f>
        <v>1.7038648415368559E-2</v>
      </c>
      <c r="AK677" s="365">
        <f>AK724/(AK$381+AI$381+AH$381+AG$381)</f>
        <v>2.0576630563688622E-2</v>
      </c>
      <c r="AL677" s="371">
        <f>AL724/(AL$381+AK$381+AI$381+AH$381)</f>
        <v>2.2843441269155985E-2</v>
      </c>
      <c r="AM677" s="371">
        <f>AM724/(AM$381+AL$381+AK$381+AI$381)</f>
        <v>2.7027012639182463E-2</v>
      </c>
      <c r="AN677" s="365">
        <f>AN724/(AN$381+AM$381+AL$381+AK$381)</f>
        <v>2.9009683456749938E-2</v>
      </c>
      <c r="AO677" s="85">
        <f>AO724/AO$381</f>
        <v>2.9009683456749938E-2</v>
      </c>
      <c r="AP677" s="365">
        <f>AP724/(AP$381+AN$381+AM$381+AL$381)</f>
        <v>3.2742110227466974E-2</v>
      </c>
      <c r="AQ677" s="371">
        <f>AQ724/(AQ$381+AP$381+AN$381+AM$381)</f>
        <v>3.9482088357412869E-2</v>
      </c>
      <c r="AR677" s="371">
        <f>AR724/(AR$381+AQ$381+AP$381+AN$381)</f>
        <v>3.7762822501247524E-2</v>
      </c>
      <c r="AS677" s="365">
        <f>AS724/(AS$381+AR$381+AQ$381+AP$381)</f>
        <v>3.513444951801116E-2</v>
      </c>
      <c r="AT677" s="85">
        <f>AT724/AT$381</f>
        <v>3.513444951801116E-2</v>
      </c>
      <c r="AU677" s="365">
        <f>AU724/(AU$381+AS$381+AR$381+AQ$381)</f>
        <v>3.4418475236505285E-2</v>
      </c>
      <c r="AV677" s="371">
        <f>AV724/(AV$381+AU$381+AS$381+AR$381)</f>
        <v>3.0481104581720892E-2</v>
      </c>
      <c r="AW677" s="798">
        <f>AW724/(AW$381+AV$381+AU$381+AS$381)</f>
        <v>3.0289446721311477E-2</v>
      </c>
      <c r="AX677" s="365">
        <f t="shared" si="724"/>
        <v>3.513444951801116E-2</v>
      </c>
      <c r="AY677" s="85">
        <f>AY724/AY$381</f>
        <v>3.513444951801116E-2</v>
      </c>
      <c r="AZ677" s="365">
        <f t="shared" si="725"/>
        <v>3.4418475236505285E-2</v>
      </c>
      <c r="BA677" s="365">
        <f t="shared" si="725"/>
        <v>3.0481104581720892E-2</v>
      </c>
      <c r="BB677" s="365">
        <f t="shared" si="725"/>
        <v>3.0289446721311477E-2</v>
      </c>
      <c r="BC677" s="365">
        <f t="shared" si="725"/>
        <v>3.513444951801116E-2</v>
      </c>
      <c r="BD677" s="85">
        <f>BD724/BD$381</f>
        <v>3.513444951801116E-2</v>
      </c>
      <c r="BE677" s="85">
        <f t="shared" si="726"/>
        <v>3.513444951801116E-2</v>
      </c>
      <c r="BF677" s="85">
        <f t="shared" si="726"/>
        <v>3.513444951801116E-2</v>
      </c>
      <c r="BG677" s="85">
        <f t="shared" si="726"/>
        <v>3.513444951801116E-2</v>
      </c>
      <c r="BH677" s="365"/>
    </row>
    <row r="678" spans="1:60" s="114" customFormat="1" x14ac:dyDescent="0.25">
      <c r="A678" s="227" t="s">
        <v>245</v>
      </c>
      <c r="B678" s="665"/>
      <c r="C678" s="85">
        <f>C752/C$381</f>
        <v>0.13476501433765398</v>
      </c>
      <c r="D678" s="85">
        <f>D752/D$381</f>
        <v>0.247987048584938</v>
      </c>
      <c r="E678" s="85">
        <f>E752/E$381</f>
        <v>0.27487490330098607</v>
      </c>
      <c r="F678" s="85">
        <f>F752/F$381</f>
        <v>0.73412606229552624</v>
      </c>
      <c r="G678" s="370"/>
      <c r="H678" s="370"/>
      <c r="I678" s="370"/>
      <c r="J678" s="370"/>
      <c r="K678" s="85">
        <f>K752/K$381</f>
        <v>0.15096578289701096</v>
      </c>
      <c r="L678" s="365">
        <f>L752/(L$381+J$381+I$381+H$381)</f>
        <v>0.18133850903801962</v>
      </c>
      <c r="M678" s="365">
        <f>M752/(M$381+L$381+J$381+I$381)</f>
        <v>0.18204638212222998</v>
      </c>
      <c r="N678" s="365">
        <f>N752/(N$381+M$381+L$381+J$381)</f>
        <v>0.22729490632199639</v>
      </c>
      <c r="O678" s="365">
        <f>O752/(O$381+N$381+M$381+L$381)</f>
        <v>0.24323308599793148</v>
      </c>
      <c r="P678" s="85">
        <f>P752/P$381</f>
        <v>0.24323308599793142</v>
      </c>
      <c r="Q678" s="365">
        <f>Q752/(Q$381+O$381+N$381+M$381)</f>
        <v>0.20818496435448902</v>
      </c>
      <c r="R678" s="365">
        <f>R752/(R$381+Q$381+O$381+N$381)</f>
        <v>0.20836352020254248</v>
      </c>
      <c r="S678" s="365">
        <f>S752/(S$381+R$381+Q$381+O$381)</f>
        <v>0.21773874655320874</v>
      </c>
      <c r="T678" s="365">
        <f>T752/(T$381+S$381+R$381+Q$381)</f>
        <v>0.22643162115903881</v>
      </c>
      <c r="U678" s="85">
        <f>U752/U$381</f>
        <v>0.22643162115903881</v>
      </c>
      <c r="V678" s="365">
        <f>V752/(V$381+T$381+S$381+R$381)</f>
        <v>0.23828826954243557</v>
      </c>
      <c r="W678" s="371">
        <f>W752/(W$381+V$381+T$381+S$381)</f>
        <v>0.24405010776593314</v>
      </c>
      <c r="X678" s="371">
        <f>X752/(X$381+W$381+V$381+T$381)</f>
        <v>0.27087963485270622</v>
      </c>
      <c r="Y678" s="365">
        <f>Y752/(Y$381+X$381+W$381+V$381)</f>
        <v>0.26575798856364424</v>
      </c>
      <c r="Z678" s="85">
        <f>Z752/Z$381</f>
        <v>0.26575798856364424</v>
      </c>
      <c r="AA678" s="365">
        <f>AA752/(AA$381+Y$381+X$381+W$381)</f>
        <v>0.24274734675859722</v>
      </c>
      <c r="AB678" s="371">
        <f>AB752/(AB$381+AA$381+Y$381+X$381)</f>
        <v>0.23431729443174198</v>
      </c>
      <c r="AC678" s="371">
        <f>AC752/(AC$381+AB$381+AA$381+Y$381)</f>
        <v>0.22182691743560956</v>
      </c>
      <c r="AD678" s="365">
        <f>AD752/(AD$381+AC$381+AB$381+AA$381)</f>
        <v>0.20327414025520227</v>
      </c>
      <c r="AE678" s="85">
        <f>AE752/AE$381</f>
        <v>0.20327414025520227</v>
      </c>
      <c r="AF678" s="365">
        <f>AF752/(AF$381+AD$381+AC$381+AB$381)</f>
        <v>0.20876028928016094</v>
      </c>
      <c r="AG678" s="371">
        <f>AG752/(AG$381+AF$381+AD$381+AC$381)</f>
        <v>0.22146403227265665</v>
      </c>
      <c r="AH678" s="371">
        <f>AH752/(AH$381+AG$381+AF$381+AD$381)</f>
        <v>0.20526461277117933</v>
      </c>
      <c r="AI678" s="365">
        <f>AI752/(AI$381+AH$381+AG$381+AF$381)</f>
        <v>0.15863233244186689</v>
      </c>
      <c r="AJ678" s="85">
        <f>AJ752/AJ$381</f>
        <v>0.15863233244186689</v>
      </c>
      <c r="AK678" s="365">
        <f>AK752/(AK$381+AI$381+AH$381+AG$381)</f>
        <v>0.14379170275481776</v>
      </c>
      <c r="AL678" s="371">
        <f>AL752/(AL$381+AK$381+AI$381+AH$381)</f>
        <v>0.12563784444401857</v>
      </c>
      <c r="AM678" s="371">
        <f>AM752/(AM$381+AL$381+AK$381+AI$381)</f>
        <v>0.14201466641315874</v>
      </c>
      <c r="AN678" s="365">
        <f>AN752/(AN$381+AM$381+AL$381+AK$381)</f>
        <v>0.1534298966555456</v>
      </c>
      <c r="AO678" s="85">
        <f>AO752/AO$381</f>
        <v>0.1534298966555456</v>
      </c>
      <c r="AP678" s="365">
        <f>AP752/(AP$381+AN$381+AM$381+AL$381)</f>
        <v>0.15256593615380737</v>
      </c>
      <c r="AQ678" s="371">
        <f>AQ752/(AQ$381+AP$381+AN$381+AM$381)</f>
        <v>0.1415131403391803</v>
      </c>
      <c r="AR678" s="371">
        <f>AR752/(AR$381+AQ$381+AP$381+AN$381)</f>
        <v>0.17596623492592595</v>
      </c>
      <c r="AS678" s="365">
        <f>AS752/(AS$381+AR$381+AQ$381+AP$381)</f>
        <v>0.19187595129375951</v>
      </c>
      <c r="AT678" s="85">
        <f>AT752/AT$381</f>
        <v>0.19187595129375951</v>
      </c>
      <c r="AU678" s="365">
        <f>AU752/(AU$381+AS$381+AR$381+AQ$381)</f>
        <v>0.18497495826377294</v>
      </c>
      <c r="AV678" s="371">
        <f>AV752/(AV$381+AU$381+AS$381+AR$381)</f>
        <v>0.1805456022168076</v>
      </c>
      <c r="AW678" s="798">
        <f>AW752/(AW$381+AV$381+AU$381+AS$381)</f>
        <v>0.1763148907103825</v>
      </c>
      <c r="AX678" s="365">
        <f t="shared" si="724"/>
        <v>0.19187595129375951</v>
      </c>
      <c r="AY678" s="85">
        <f>AY752/AY$381</f>
        <v>0.19187595129375951</v>
      </c>
      <c r="AZ678" s="365">
        <f t="shared" si="725"/>
        <v>0.18497495826377294</v>
      </c>
      <c r="BA678" s="365">
        <f t="shared" si="725"/>
        <v>0.1805456022168076</v>
      </c>
      <c r="BB678" s="365">
        <f t="shared" si="725"/>
        <v>0.1763148907103825</v>
      </c>
      <c r="BC678" s="365">
        <f t="shared" si="725"/>
        <v>0.19187595129375951</v>
      </c>
      <c r="BD678" s="85">
        <f>BD752/BD$381</f>
        <v>0.19187595129375951</v>
      </c>
      <c r="BE678" s="85">
        <f t="shared" si="726"/>
        <v>0.19187595129375951</v>
      </c>
      <c r="BF678" s="85">
        <f t="shared" si="726"/>
        <v>0.19187595129375951</v>
      </c>
      <c r="BG678" s="85">
        <f t="shared" si="726"/>
        <v>0.19187595129375951</v>
      </c>
      <c r="BH678" s="365"/>
    </row>
    <row r="679" spans="1:60" s="114" customFormat="1" x14ac:dyDescent="0.25">
      <c r="A679" s="227" t="s">
        <v>571</v>
      </c>
      <c r="B679" s="665"/>
      <c r="C679" s="85">
        <f t="shared" ref="C679:F680" si="728">C755/C$381</f>
        <v>0.12981606710558052</v>
      </c>
      <c r="D679" s="85">
        <f t="shared" si="728"/>
        <v>0.17940964846159119</v>
      </c>
      <c r="E679" s="85">
        <f t="shared" si="728"/>
        <v>0.15721056393885685</v>
      </c>
      <c r="F679" s="85">
        <f t="shared" si="728"/>
        <v>9.6303501945525283E-2</v>
      </c>
      <c r="G679" s="370"/>
      <c r="H679" s="370"/>
      <c r="I679" s="370"/>
      <c r="J679" s="370"/>
      <c r="K679" s="85">
        <f>K755/K$381</f>
        <v>5.3763205886676699E-2</v>
      </c>
      <c r="L679" s="365">
        <f>L755/(L$381+J$381+I$381+H$381)</f>
        <v>6.2093979189729406E-2</v>
      </c>
      <c r="M679" s="365">
        <f>M755/(M$381+L$381+J$381+I$381)</f>
        <v>6.6258943317671237E-2</v>
      </c>
      <c r="N679" s="365">
        <f>N755/(N$381+M$381+L$381+J$381)</f>
        <v>6.8105305234949329E-2</v>
      </c>
      <c r="O679" s="365">
        <f>O755/(O$381+N$381+M$381+L$381)</f>
        <v>8.4069128014517464E-2</v>
      </c>
      <c r="P679" s="85">
        <f>P755/P$381</f>
        <v>8.406912801451745E-2</v>
      </c>
      <c r="Q679" s="365">
        <f>Q755/(Q$381+O$381+N$381+M$381)</f>
        <v>0.10056815629784738</v>
      </c>
      <c r="R679" s="365">
        <f>R755/(R$381+Q$381+O$381+N$381)</f>
        <v>0.1115487963371255</v>
      </c>
      <c r="S679" s="365">
        <f>S755/(S$381+R$381+Q$381+O$381)</f>
        <v>0.12127821775748843</v>
      </c>
      <c r="T679" s="365">
        <f>T755/(T$381+S$381+R$381+Q$381)</f>
        <v>0.13831575435149313</v>
      </c>
      <c r="U679" s="85">
        <f>U755/U$381</f>
        <v>0.13831575435149313</v>
      </c>
      <c r="V679" s="365">
        <f>V755/(V$381+T$381+S$381+R$381)</f>
        <v>0.14834619543481803</v>
      </c>
      <c r="W679" s="371">
        <f>W755/(W$381+V$381+T$381+S$381)</f>
        <v>0.17206868124531272</v>
      </c>
      <c r="X679" s="371">
        <f>X755/(X$381+W$381+V$381+T$381)</f>
        <v>0.15161720783266985</v>
      </c>
      <c r="Y679" s="365">
        <f>Y755/(Y$381+X$381+W$381+V$381)</f>
        <v>0.19850082827009549</v>
      </c>
      <c r="Z679" s="85">
        <f>Z755/Z$381</f>
        <v>0.19850082827009549</v>
      </c>
      <c r="AA679" s="365">
        <f>AA755/(AA$381+Y$381+X$381+W$381)</f>
        <v>0.19988679846453897</v>
      </c>
      <c r="AB679" s="371">
        <f>AB755/(AB$381+AA$381+Y$381+X$381)</f>
        <v>0.18408854040970143</v>
      </c>
      <c r="AC679" s="371">
        <f>AC755/(AC$381+AB$381+AA$381+Y$381)</f>
        <v>0.18792143249181578</v>
      </c>
      <c r="AD679" s="365">
        <f>AD755/(AD$381+AC$381+AB$381+AA$381)</f>
        <v>0.21419783444687279</v>
      </c>
      <c r="AE679" s="85">
        <f>AE755/AE$381</f>
        <v>0.21419783444687279</v>
      </c>
      <c r="AF679" s="365">
        <f>AF755/(AF$381+AD$381+AC$381+AB$381)</f>
        <v>0.20266987255148489</v>
      </c>
      <c r="AG679" s="371">
        <f>AG755/(AG$381+AF$381+AD$381+AC$381)</f>
        <v>0.18190960972693032</v>
      </c>
      <c r="AH679" s="371">
        <f>AH755/(AH$381+AG$381+AF$381+AD$381)</f>
        <v>0.14808814878914453</v>
      </c>
      <c r="AI679" s="365">
        <f>AI755/(AI$381+AH$381+AG$381+AF$381)</f>
        <v>0.12101302681649567</v>
      </c>
      <c r="AJ679" s="85">
        <f>AJ755/AJ$381</f>
        <v>0.12101302681649567</v>
      </c>
      <c r="AK679" s="365">
        <f>AK755/(AK$381+AI$381+AH$381+AG$381)</f>
        <v>0.12203143837290117</v>
      </c>
      <c r="AL679" s="371">
        <f>AL755/(AL$381+AK$381+AI$381+AH$381)</f>
        <v>0.12628391816891305</v>
      </c>
      <c r="AM679" s="371">
        <f>AM755/(AM$381+AL$381+AK$381+AI$381)</f>
        <v>0.12031115626351223</v>
      </c>
      <c r="AN679" s="365">
        <f>AN755/(AN$381+AM$381+AL$381+AK$381)</f>
        <v>0.13109284726177883</v>
      </c>
      <c r="AO679" s="85">
        <f>AO755/AO$381</f>
        <v>0.13109284726177883</v>
      </c>
      <c r="AP679" s="365">
        <f>AP755/(AP$381+AN$381+AM$381+AL$381)</f>
        <v>0.10856392182229366</v>
      </c>
      <c r="AQ679" s="371">
        <f>AQ755/(AQ$381+AP$381+AN$381+AM$381)</f>
        <v>0.12097467467148179</v>
      </c>
      <c r="AR679" s="371">
        <f>AR755/(AR$381+AQ$381+AP$381+AN$381)</f>
        <v>0.11541794997561743</v>
      </c>
      <c r="AS679" s="365">
        <f>AS755/(AS$381+AR$381+AQ$381+AP$381)</f>
        <v>0.12224124809741248</v>
      </c>
      <c r="AT679" s="85">
        <f>AT755/AT$381</f>
        <v>0.12224124809741248</v>
      </c>
      <c r="AU679" s="365">
        <f>AU755/(AU$381+AS$381+AR$381+AQ$381)</f>
        <v>0.11332776850306066</v>
      </c>
      <c r="AV679" s="371">
        <f>AV755/(AV$381+AU$381+AS$381+AR$381)</f>
        <v>0.1141369260904878</v>
      </c>
      <c r="AW679" s="798">
        <f>AW755/(AW$381+AV$381+AU$381+AS$381)</f>
        <v>0.11618425546448087</v>
      </c>
      <c r="AX679" s="365">
        <f t="shared" si="724"/>
        <v>0.12224124809741248</v>
      </c>
      <c r="AY679" s="85">
        <f>AY755/AY$381</f>
        <v>0.12224124809741248</v>
      </c>
      <c r="AZ679" s="365">
        <f t="shared" si="725"/>
        <v>0.11332776850306066</v>
      </c>
      <c r="BA679" s="365">
        <f t="shared" si="725"/>
        <v>0.1141369260904878</v>
      </c>
      <c r="BB679" s="365">
        <f t="shared" si="725"/>
        <v>0.11618425546448087</v>
      </c>
      <c r="BC679" s="365">
        <f t="shared" si="725"/>
        <v>0.12224124809741248</v>
      </c>
      <c r="BD679" s="85">
        <f>BD755/BD$381</f>
        <v>0.12224124809741248</v>
      </c>
      <c r="BE679" s="85">
        <f t="shared" si="726"/>
        <v>0.12224124809741248</v>
      </c>
      <c r="BF679" s="85">
        <f t="shared" si="726"/>
        <v>0.12224124809741248</v>
      </c>
      <c r="BG679" s="85">
        <f t="shared" si="726"/>
        <v>0.12224124809741248</v>
      </c>
      <c r="BH679" s="365"/>
    </row>
    <row r="680" spans="1:60" s="114" customFormat="1" x14ac:dyDescent="0.25">
      <c r="A680" s="227" t="s">
        <v>247</v>
      </c>
      <c r="B680" s="665"/>
      <c r="C680" s="85">
        <f t="shared" si="728"/>
        <v>1.2300903138204264E-2</v>
      </c>
      <c r="D680" s="85">
        <f t="shared" si="728"/>
        <v>3.9702254505584865E-2</v>
      </c>
      <c r="E680" s="85">
        <f t="shared" si="728"/>
        <v>1.1481477854701775E-2</v>
      </c>
      <c r="F680" s="85">
        <f t="shared" si="728"/>
        <v>4.6097334339973281E-3</v>
      </c>
      <c r="G680" s="370"/>
      <c r="H680" s="370"/>
      <c r="I680" s="370"/>
      <c r="J680" s="370"/>
      <c r="K680" s="85">
        <f>K756/K$381</f>
        <v>4.5633068056753032E-2</v>
      </c>
      <c r="L680" s="365">
        <f>L756/(L$381+J$381+I$381+H$381)</f>
        <v>5.4404737661455246E-2</v>
      </c>
      <c r="M680" s="365">
        <f>M756/(M$381+L$381+J$381+I$381)</f>
        <v>5.722902445190884E-2</v>
      </c>
      <c r="N680" s="365">
        <f>N756/(N$381+M$381+L$381+J$381)</f>
        <v>5.6554029977801228E-2</v>
      </c>
      <c r="O680" s="365">
        <f>O756/(O$381+N$381+M$381+L$381)</f>
        <v>5.9921722284823835E-2</v>
      </c>
      <c r="P680" s="85">
        <f>P756/P$381</f>
        <v>5.9921722284823828E-2</v>
      </c>
      <c r="Q680" s="365">
        <f>Q756/(Q$381+O$381+N$381+M$381)</f>
        <v>6.4381381666512194E-2</v>
      </c>
      <c r="R680" s="365">
        <f>R756/(R$381+Q$381+O$381+N$381)</f>
        <v>7.7910340475481316E-2</v>
      </c>
      <c r="S680" s="365">
        <f>S756/(S$381+R$381+Q$381+O$381)</f>
        <v>9.1892523993573907E-2</v>
      </c>
      <c r="T680" s="365">
        <f>T756/(T$381+S$381+R$381+Q$381)</f>
        <v>0.10478457251252773</v>
      </c>
      <c r="U680" s="85">
        <f>U756/U$381</f>
        <v>0.10478457251252773</v>
      </c>
      <c r="V680" s="365">
        <f>V756/(V$381+T$381+S$381+R$381)</f>
        <v>0.12146639007446879</v>
      </c>
      <c r="W680" s="371">
        <f>W756/(W$381+V$381+T$381+S$381)</f>
        <v>0.12232648327559402</v>
      </c>
      <c r="X680" s="371">
        <f>X756/(X$381+W$381+V$381+T$381)</f>
        <v>0.10555001019413375</v>
      </c>
      <c r="Y680" s="365">
        <f>Y756/(Y$381+X$381+W$381+V$381)</f>
        <v>0.10901594427076519</v>
      </c>
      <c r="Z680" s="85">
        <f>Z756/Z$381</f>
        <v>0.10901594427076518</v>
      </c>
      <c r="AA680" s="365">
        <f>AA756/(AA$381+Y$381+X$381+W$381)</f>
        <v>9.8427787643370498E-2</v>
      </c>
      <c r="AB680" s="371">
        <f>AB756/(AB$381+AA$381+Y$381+X$381)</f>
        <v>9.0714829255328353E-2</v>
      </c>
      <c r="AC680" s="371">
        <f>AC756/(AC$381+AB$381+AA$381+Y$381)</f>
        <v>8.8491141857566985E-2</v>
      </c>
      <c r="AD680" s="365">
        <f>AD756/(AD$381+AC$381+AB$381+AA$381)</f>
        <v>8.6340207391074106E-2</v>
      </c>
      <c r="AE680" s="85">
        <f>AE756/AE$381</f>
        <v>8.6340207391074106E-2</v>
      </c>
      <c r="AF680" s="365">
        <f>AF756/(AF$381+AD$381+AC$381+AB$381)</f>
        <v>4.3016199201490281E-2</v>
      </c>
      <c r="AG680" s="371">
        <f>AG756/(AG$381+AF$381+AD$381+AC$381)</f>
        <v>4.2116702643236519E-2</v>
      </c>
      <c r="AH680" s="371">
        <f>AH756/(AH$381+AG$381+AF$381+AD$381)</f>
        <v>3.2579981652217996E-2</v>
      </c>
      <c r="AI680" s="365">
        <f>AI756/(AI$381+AH$381+AG$381+AF$381)</f>
        <v>2.9368814554666577E-2</v>
      </c>
      <c r="AJ680" s="85">
        <f>AJ756/AJ$381</f>
        <v>2.9368814554666577E-2</v>
      </c>
      <c r="AK680" s="365">
        <f>AK756/(AK$381+AI$381+AH$381+AG$381)</f>
        <v>3.3761646519929356E-2</v>
      </c>
      <c r="AL680" s="371">
        <f>AL756/(AL$381+AK$381+AI$381+AH$381)</f>
        <v>3.5414695214299297E-2</v>
      </c>
      <c r="AM680" s="371">
        <f>AM756/(AM$381+AL$381+AK$381+AI$381)</f>
        <v>4.2792770012038898E-2</v>
      </c>
      <c r="AN680" s="365">
        <f>AN756/(AN$381+AM$381+AL$381+AK$381)</f>
        <v>4.7318740336886649E-2</v>
      </c>
      <c r="AO680" s="85">
        <f>AO756/AO$381</f>
        <v>4.7318740336886649E-2</v>
      </c>
      <c r="AP680" s="365">
        <f>AP756/(AP$381+AN$381+AM$381+AL$381)</f>
        <v>4.5577632311943464E-2</v>
      </c>
      <c r="AQ680" s="371">
        <f>AQ756/(AQ$381+AP$381+AN$381+AM$381)</f>
        <v>4.3955428417612359E-2</v>
      </c>
      <c r="AR680" s="371">
        <f>AR756/(AR$381+AQ$381+AP$381+AN$381)</f>
        <v>4.4648149160309569E-2</v>
      </c>
      <c r="AS680" s="365">
        <f>AS756/(AS$381+AR$381+AQ$381+AP$381)</f>
        <v>4.6232876712328765E-2</v>
      </c>
      <c r="AT680" s="85">
        <f>AT756/AT$381</f>
        <v>4.6232876712328765E-2</v>
      </c>
      <c r="AU680" s="365">
        <f>AU756/(AU$381+AS$381+AR$381+AQ$381)</f>
        <v>4.4296048970506402E-2</v>
      </c>
      <c r="AV680" s="371">
        <f>AV756/(AV$381+AU$381+AS$381+AR$381)</f>
        <v>4.0442406000668861E-2</v>
      </c>
      <c r="AW680" s="798">
        <f>AW756/(AW$381+AV$381+AU$381+AS$381)</f>
        <v>3.8443476775956283E-2</v>
      </c>
      <c r="AX680" s="365">
        <f t="shared" si="724"/>
        <v>4.6232876712328765E-2</v>
      </c>
      <c r="AY680" s="85">
        <f>AY756/AY$381</f>
        <v>4.6232876712328765E-2</v>
      </c>
      <c r="AZ680" s="365">
        <f t="shared" si="725"/>
        <v>4.4296048970506402E-2</v>
      </c>
      <c r="BA680" s="365">
        <f t="shared" si="725"/>
        <v>4.0442406000668861E-2</v>
      </c>
      <c r="BB680" s="365">
        <f t="shared" si="725"/>
        <v>3.8443476775956283E-2</v>
      </c>
      <c r="BC680" s="365">
        <f t="shared" si="725"/>
        <v>4.6232876712328765E-2</v>
      </c>
      <c r="BD680" s="85">
        <f>BD756/BD$381</f>
        <v>4.6232876712328765E-2</v>
      </c>
      <c r="BE680" s="85">
        <f t="shared" si="726"/>
        <v>4.6232876712328765E-2</v>
      </c>
      <c r="BF680" s="85">
        <f t="shared" si="726"/>
        <v>4.6232876712328765E-2</v>
      </c>
      <c r="BG680" s="85">
        <f t="shared" si="726"/>
        <v>4.6232876712328765E-2</v>
      </c>
      <c r="BH680" s="365"/>
    </row>
    <row r="681" spans="1:60" s="114" customFormat="1" x14ac:dyDescent="0.25">
      <c r="A681" s="227" t="s">
        <v>246</v>
      </c>
      <c r="B681" s="665"/>
      <c r="C681" s="85">
        <f>C759/C$381</f>
        <v>0.23268985108492715</v>
      </c>
      <c r="D681" s="85">
        <f>D759/D$381</f>
        <v>0.26343966285205234</v>
      </c>
      <c r="E681" s="85">
        <f>E759/E$381</f>
        <v>0.44927585902997419</v>
      </c>
      <c r="F681" s="85">
        <f>F759/F$381</f>
        <v>0.33591042840273339</v>
      </c>
      <c r="G681" s="370"/>
      <c r="H681" s="370"/>
      <c r="I681" s="370"/>
      <c r="J681" s="370"/>
      <c r="K681" s="85">
        <f>K759/K$381</f>
        <v>8.1029711506752422E-2</v>
      </c>
      <c r="L681" s="365">
        <f>L759/(L$381+J$381+I$381+H$381)</f>
        <v>9.5551396890137558E-2</v>
      </c>
      <c r="M681" s="365">
        <f>M759/(M$381+L$381+J$381+I$381)</f>
        <v>9.3585519295238645E-2</v>
      </c>
      <c r="N681" s="365">
        <f>N759/(N$381+M$381+L$381+J$381)</f>
        <v>7.9475966024878608E-2</v>
      </c>
      <c r="O681" s="365">
        <f>O759/(O$381+N$381+M$381+L$381)</f>
        <v>8.0537313544833664E-2</v>
      </c>
      <c r="P681" s="85">
        <f>P759/P$381</f>
        <v>8.053731354483365E-2</v>
      </c>
      <c r="Q681" s="365">
        <f>Q759/(Q$381+O$381+N$381+M$381)</f>
        <v>7.0920324508044183E-2</v>
      </c>
      <c r="R681" s="365">
        <f>R759/(R$381+Q$381+O$381+N$381)</f>
        <v>7.3676573000288112E-2</v>
      </c>
      <c r="S681" s="365">
        <f>S759/(S$381+R$381+Q$381+O$381)</f>
        <v>7.115185520916209E-2</v>
      </c>
      <c r="T681" s="365">
        <f>T759/(T$381+S$381+R$381+Q$381)</f>
        <v>7.0036640900637048E-2</v>
      </c>
      <c r="U681" s="85">
        <f>U759/U$381</f>
        <v>7.0036640900637048E-2</v>
      </c>
      <c r="V681" s="365">
        <f>V759/(V$381+T$381+S$381+R$381)</f>
        <v>9.2016280474457673E-2</v>
      </c>
      <c r="W681" s="371">
        <f>W759/(W$381+V$381+T$381+S$381)</f>
        <v>0.14881768315721128</v>
      </c>
      <c r="X681" s="371">
        <f>X759/(X$381+W$381+V$381+T$381)</f>
        <v>0.11642122329267655</v>
      </c>
      <c r="Y681" s="365">
        <f>Y759/(Y$381+X$381+W$381+V$381)</f>
        <v>9.4835211678865508E-2</v>
      </c>
      <c r="Z681" s="85">
        <f>Z759/Z$381</f>
        <v>9.4835211678865494E-2</v>
      </c>
      <c r="AA681" s="365">
        <f>AA759/(AA$381+Y$381+X$381+W$381)</f>
        <v>7.2098780796771317E-2</v>
      </c>
      <c r="AB681" s="371">
        <f>AB759/(AB$381+AA$381+Y$381+X$381)</f>
        <v>5.9941042183977708E-2</v>
      </c>
      <c r="AC681" s="371">
        <f>AC759/(AC$381+AB$381+AA$381+Y$381)</f>
        <v>6.3791307834129063E-2</v>
      </c>
      <c r="AD681" s="365">
        <f>AD759/(AD$381+AC$381+AB$381+AA$381)</f>
        <v>7.2619872637833732E-2</v>
      </c>
      <c r="AE681" s="85">
        <f>AE759/AE$381</f>
        <v>7.2619872637833732E-2</v>
      </c>
      <c r="AF681" s="365">
        <f>AF759/(AF$381+AD$381+AC$381+AB$381)</f>
        <v>7.8967579145348271E-2</v>
      </c>
      <c r="AG681" s="371">
        <f>AG759/(AG$381+AF$381+AD$381+AC$381)</f>
        <v>6.8849420625952854E-2</v>
      </c>
      <c r="AH681" s="371">
        <f>AH759/(AH$381+AG$381+AF$381+AD$381)</f>
        <v>5.1692330659079813E-2</v>
      </c>
      <c r="AI681" s="365">
        <f>AI759/(AI$381+AH$381+AG$381+AF$381)</f>
        <v>3.6931694809458605E-2</v>
      </c>
      <c r="AJ681" s="85">
        <f>AJ759/AJ$381</f>
        <v>3.6931694809458605E-2</v>
      </c>
      <c r="AK681" s="365">
        <f>AK759/(AK$381+AI$381+AH$381+AG$381)</f>
        <v>3.4003569357697522E-2</v>
      </c>
      <c r="AL681" s="371">
        <f>AL759/(AL$381+AK$381+AI$381+AH$381)</f>
        <v>2.5303565241217563E-2</v>
      </c>
      <c r="AM681" s="371">
        <f>AM759/(AM$381+AL$381+AK$381+AI$381)</f>
        <v>2.7231762734933843E-2</v>
      </c>
      <c r="AN681" s="365">
        <f>AN759/(AN$381+AM$381+AL$381+AK$381)</f>
        <v>2.9538611766620555E-2</v>
      </c>
      <c r="AO681" s="85">
        <f>AO759/AO$381</f>
        <v>2.9538611766620555E-2</v>
      </c>
      <c r="AP681" s="365">
        <f>AP759/(AP$381+AN$381+AM$381+AL$381)</f>
        <v>3.0282608989722973E-2</v>
      </c>
      <c r="AQ681" s="371">
        <f>AQ759/(AQ$381+AP$381+AN$381+AM$381)</f>
        <v>2.7734708373236824E-2</v>
      </c>
      <c r="AR681" s="371">
        <f>AR759/(AR$381+AQ$381+AP$381+AN$381)</f>
        <v>2.512789316812335E-2</v>
      </c>
      <c r="AS681" s="365">
        <f>AS759/(AS$381+AR$381+AQ$381+AP$381)</f>
        <v>2.3845763571790968E-2</v>
      </c>
      <c r="AT681" s="85">
        <f>AT759/AT$381</f>
        <v>2.3845763571790968E-2</v>
      </c>
      <c r="AU681" s="365">
        <f>AU759/(AU$381+AS$381+AR$381+AQ$381)</f>
        <v>2.0728992765720645E-2</v>
      </c>
      <c r="AV681" s="371">
        <f>AV759/(AV$381+AU$381+AS$381+AR$381)</f>
        <v>1.9397066552004204E-2</v>
      </c>
      <c r="AW681" s="798">
        <f>AW759/(AW$381+AV$381+AU$381+AS$381)</f>
        <v>1.7738217213114756E-2</v>
      </c>
      <c r="AX681" s="365">
        <f t="shared" si="724"/>
        <v>2.3845763571790968E-2</v>
      </c>
      <c r="AY681" s="85">
        <f>AY759/AY$381</f>
        <v>2.3845763571790968E-2</v>
      </c>
      <c r="AZ681" s="365">
        <f t="shared" si="725"/>
        <v>2.0728992765720645E-2</v>
      </c>
      <c r="BA681" s="365">
        <f t="shared" si="725"/>
        <v>1.9397066552004204E-2</v>
      </c>
      <c r="BB681" s="365">
        <f t="shared" si="725"/>
        <v>1.7738217213114756E-2</v>
      </c>
      <c r="BC681" s="365">
        <f t="shared" si="725"/>
        <v>2.3845763571790968E-2</v>
      </c>
      <c r="BD681" s="85">
        <f>BD759/BD$381</f>
        <v>2.3845763571790968E-2</v>
      </c>
      <c r="BE681" s="85">
        <f t="shared" si="726"/>
        <v>2.3845763571790968E-2</v>
      </c>
      <c r="BF681" s="85">
        <f t="shared" si="726"/>
        <v>2.3845763571790968E-2</v>
      </c>
      <c r="BG681" s="85">
        <f t="shared" si="726"/>
        <v>2.3845763571790968E-2</v>
      </c>
      <c r="BH681" s="365"/>
    </row>
    <row r="682" spans="1:60" s="114" customFormat="1" x14ac:dyDescent="0.25">
      <c r="A682" s="225"/>
      <c r="B682" s="665"/>
      <c r="C682" s="252"/>
      <c r="D682" s="252"/>
      <c r="E682" s="252"/>
      <c r="F682" s="252"/>
      <c r="G682" s="370"/>
      <c r="H682" s="370"/>
      <c r="I682" s="370"/>
      <c r="J682" s="370"/>
      <c r="K682" s="252"/>
      <c r="L682" s="370"/>
      <c r="M682" s="370"/>
      <c r="N682" s="370"/>
      <c r="O682" s="370"/>
      <c r="P682" s="252"/>
      <c r="Q682" s="370"/>
      <c r="R682" s="370"/>
      <c r="S682" s="370"/>
      <c r="T682" s="370"/>
      <c r="U682" s="252"/>
      <c r="V682" s="370"/>
      <c r="W682" s="370"/>
      <c r="X682" s="370"/>
      <c r="Y682" s="370"/>
      <c r="Z682" s="252"/>
      <c r="AA682" s="370"/>
      <c r="AB682" s="370"/>
      <c r="AC682" s="370"/>
      <c r="AD682" s="370"/>
      <c r="AE682" s="252"/>
      <c r="AF682" s="370"/>
      <c r="AG682" s="370"/>
      <c r="AH682" s="370"/>
      <c r="AI682" s="370"/>
      <c r="AJ682" s="252"/>
      <c r="AK682" s="370"/>
      <c r="AL682" s="370"/>
      <c r="AM682" s="370"/>
      <c r="AN682" s="370"/>
      <c r="AO682" s="252"/>
      <c r="AP682" s="370"/>
      <c r="AQ682" s="370"/>
      <c r="AR682" s="370"/>
      <c r="AS682" s="370"/>
      <c r="AT682" s="252"/>
      <c r="AU682" s="370"/>
      <c r="AV682" s="370"/>
      <c r="AW682" s="728"/>
      <c r="AX682" s="370"/>
      <c r="AY682" s="252"/>
      <c r="AZ682" s="370"/>
      <c r="BA682" s="370"/>
      <c r="BB682" s="370"/>
      <c r="BC682" s="370"/>
      <c r="BD682" s="252"/>
      <c r="BE682" s="252"/>
      <c r="BF682" s="252"/>
      <c r="BG682" s="252"/>
      <c r="BH682" s="365"/>
    </row>
    <row r="683" spans="1:60" s="114" customFormat="1" x14ac:dyDescent="0.25">
      <c r="A683" s="398" t="s">
        <v>248</v>
      </c>
      <c r="B683" s="682"/>
      <c r="C683" s="705"/>
      <c r="D683" s="399">
        <f t="shared" ref="D683:F689" si="729">D675-C675</f>
        <v>2.6317472510028847E-2</v>
      </c>
      <c r="E683" s="399">
        <f t="shared" si="729"/>
        <v>-1.0771787530318044E-2</v>
      </c>
      <c r="F683" s="399">
        <f t="shared" si="729"/>
        <v>1.8248075296460338E-2</v>
      </c>
      <c r="G683" s="683"/>
      <c r="H683" s="683"/>
      <c r="I683" s="683"/>
      <c r="J683" s="683"/>
      <c r="K683" s="399">
        <f t="shared" ref="K683:K689" si="730">K675-F675</f>
        <v>-4.0562558138033764E-2</v>
      </c>
      <c r="L683" s="683"/>
      <c r="M683" s="683"/>
      <c r="N683" s="683"/>
      <c r="O683" s="683"/>
      <c r="P683" s="399">
        <f t="shared" ref="P683:Y689" si="731">P675-K675</f>
        <v>4.6460232423028588E-2</v>
      </c>
      <c r="Q683" s="400">
        <f t="shared" si="731"/>
        <v>2.1941925454792587E-2</v>
      </c>
      <c r="R683" s="400">
        <f t="shared" si="731"/>
        <v>-2.2117951386189452E-3</v>
      </c>
      <c r="S683" s="400">
        <f t="shared" si="731"/>
        <v>-2.3248624257864003E-2</v>
      </c>
      <c r="T683" s="400">
        <f t="shared" si="731"/>
        <v>-2.9089408784330799E-2</v>
      </c>
      <c r="U683" s="399">
        <f t="shared" si="731"/>
        <v>-2.9089408784330785E-2</v>
      </c>
      <c r="V683" s="400">
        <f t="shared" si="731"/>
        <v>1.791031271859047E-2</v>
      </c>
      <c r="W683" s="401">
        <f t="shared" si="731"/>
        <v>1.6559288510046982E-3</v>
      </c>
      <c r="X683" s="401">
        <f t="shared" si="731"/>
        <v>2.3459814153421597E-2</v>
      </c>
      <c r="Y683" s="400">
        <f t="shared" si="731"/>
        <v>2.9543914918073115E-2</v>
      </c>
      <c r="Z683" s="399">
        <f t="shared" ref="Z683:AI689" si="732">Z675-U675</f>
        <v>2.9543914918073101E-2</v>
      </c>
      <c r="AA683" s="400">
        <f t="shared" si="732"/>
        <v>-2.3273825079997437E-2</v>
      </c>
      <c r="AB683" s="401">
        <f t="shared" si="732"/>
        <v>5.9488193769580977E-3</v>
      </c>
      <c r="AC683" s="401">
        <f t="shared" si="732"/>
        <v>1.3796755621000162E-3</v>
      </c>
      <c r="AD683" s="400">
        <f t="shared" si="732"/>
        <v>-2.7475085403630639E-2</v>
      </c>
      <c r="AE683" s="399">
        <f t="shared" si="732"/>
        <v>-2.7475085403630625E-2</v>
      </c>
      <c r="AF683" s="400">
        <f t="shared" si="732"/>
        <v>8.4161787477368688E-4</v>
      </c>
      <c r="AG683" s="401">
        <f t="shared" si="732"/>
        <v>-3.3980115465770816E-3</v>
      </c>
      <c r="AH683" s="401">
        <f t="shared" si="732"/>
        <v>9.4045915314970932E-3</v>
      </c>
      <c r="AI683" s="400">
        <f t="shared" si="732"/>
        <v>3.9065035801480463E-4</v>
      </c>
      <c r="AJ683" s="399">
        <f t="shared" ref="AJ683:AW689" si="733">AJ675-AE675</f>
        <v>3.9065035801480463E-4</v>
      </c>
      <c r="AK683" s="400">
        <f t="shared" si="733"/>
        <v>-6.0109756044633214E-3</v>
      </c>
      <c r="AL683" s="401">
        <f t="shared" si="733"/>
        <v>4.3461916110811502E-3</v>
      </c>
      <c r="AM683" s="401">
        <f t="shared" si="733"/>
        <v>-1.9719384123096581E-2</v>
      </c>
      <c r="AN683" s="400">
        <f t="shared" si="733"/>
        <v>9.649093668357929E-3</v>
      </c>
      <c r="AO683" s="399">
        <f t="shared" si="733"/>
        <v>9.649093668357929E-3</v>
      </c>
      <c r="AP683" s="400">
        <f t="shared" si="733"/>
        <v>2.6221056087570513E-3</v>
      </c>
      <c r="AQ683" s="401">
        <f t="shared" si="733"/>
        <v>1.1772677843780721E-2</v>
      </c>
      <c r="AR683" s="401">
        <f t="shared" si="733"/>
        <v>1.6166723449890313E-2</v>
      </c>
      <c r="AS683" s="400">
        <f t="shared" si="733"/>
        <v>5.9353536607111151E-3</v>
      </c>
      <c r="AT683" s="399">
        <f t="shared" ref="AT683:AT689" si="734">AT675-AO675</f>
        <v>5.9353536607111151E-3</v>
      </c>
      <c r="AU683" s="400">
        <f t="shared" si="733"/>
        <v>3.6281995629531966E-3</v>
      </c>
      <c r="AV683" s="401">
        <f t="shared" ref="AV683:AV689" si="735">AV675-AQ675</f>
        <v>-6.9068550238787427E-3</v>
      </c>
      <c r="AW683" s="810">
        <f t="shared" si="733"/>
        <v>-2.0478222100582484E-2</v>
      </c>
      <c r="AX683" s="402">
        <v>0</v>
      </c>
      <c r="AY683" s="399">
        <f t="shared" ref="AY683:AY689" si="736">AY675-AT675</f>
        <v>0</v>
      </c>
      <c r="AZ683" s="402">
        <v>0</v>
      </c>
      <c r="BA683" s="402">
        <v>0</v>
      </c>
      <c r="BB683" s="402">
        <v>0</v>
      </c>
      <c r="BC683" s="402">
        <v>0</v>
      </c>
      <c r="BD683" s="399">
        <f t="shared" ref="BD683:BD689" si="737">BD675-AY675</f>
        <v>0</v>
      </c>
      <c r="BE683" s="1018">
        <v>0</v>
      </c>
      <c r="BF683" s="1018">
        <v>0</v>
      </c>
      <c r="BG683" s="1018">
        <v>0</v>
      </c>
      <c r="BH683" s="365"/>
    </row>
    <row r="684" spans="1:60" s="114" customFormat="1" x14ac:dyDescent="0.25">
      <c r="A684" s="398" t="s">
        <v>249</v>
      </c>
      <c r="B684" s="682"/>
      <c r="C684" s="705"/>
      <c r="D684" s="399">
        <f t="shared" si="729"/>
        <v>0.17957288790475134</v>
      </c>
      <c r="E684" s="399">
        <f t="shared" si="729"/>
        <v>-0.14180863355776913</v>
      </c>
      <c r="F684" s="399">
        <f t="shared" si="729"/>
        <v>0.40451889895067006</v>
      </c>
      <c r="G684" s="683"/>
      <c r="H684" s="683"/>
      <c r="I684" s="683"/>
      <c r="J684" s="683"/>
      <c r="K684" s="399">
        <f t="shared" si="730"/>
        <v>-0.48069117422067931</v>
      </c>
      <c r="L684" s="683"/>
      <c r="M684" s="683"/>
      <c r="N684" s="683"/>
      <c r="O684" s="683"/>
      <c r="P684" s="399">
        <f t="shared" si="731"/>
        <v>0.12913978633379766</v>
      </c>
      <c r="Q684" s="400">
        <f t="shared" si="731"/>
        <v>8.2358941479400594E-2</v>
      </c>
      <c r="R684" s="400">
        <f t="shared" si="731"/>
        <v>8.2351092228176104E-2</v>
      </c>
      <c r="S684" s="400">
        <f t="shared" si="731"/>
        <v>7.8109474148214175E-2</v>
      </c>
      <c r="T684" s="400">
        <f t="shared" si="731"/>
        <v>1.7648906725576285E-2</v>
      </c>
      <c r="U684" s="399">
        <f t="shared" si="731"/>
        <v>1.7648906725576341E-2</v>
      </c>
      <c r="V684" s="400">
        <f t="shared" si="731"/>
        <v>6.2468817795345855E-3</v>
      </c>
      <c r="W684" s="401">
        <f t="shared" si="731"/>
        <v>2.4998601278240995E-2</v>
      </c>
      <c r="X684" s="401">
        <f t="shared" si="731"/>
        <v>-7.0912013047437383E-2</v>
      </c>
      <c r="Y684" s="400">
        <f t="shared" si="731"/>
        <v>-2.0480530401375541E-2</v>
      </c>
      <c r="Z684" s="399">
        <f t="shared" si="732"/>
        <v>-2.0480530401375596E-2</v>
      </c>
      <c r="AA684" s="400">
        <f t="shared" si="732"/>
        <v>-4.6405739783081768E-2</v>
      </c>
      <c r="AB684" s="401">
        <f t="shared" si="732"/>
        <v>-0.11020487542966267</v>
      </c>
      <c r="AC684" s="401">
        <f t="shared" si="732"/>
        <v>-4.0804479180565206E-2</v>
      </c>
      <c r="AD684" s="400">
        <f t="shared" si="732"/>
        <v>-0.10284692127461184</v>
      </c>
      <c r="AE684" s="399">
        <f t="shared" si="732"/>
        <v>-0.10284692127461179</v>
      </c>
      <c r="AF684" s="400">
        <f t="shared" si="732"/>
        <v>-5.3968466145371208E-2</v>
      </c>
      <c r="AG684" s="401">
        <f t="shared" si="732"/>
        <v>8.1720672887777845E-4</v>
      </c>
      <c r="AH684" s="401">
        <f t="shared" si="732"/>
        <v>-4.06631156143481E-2</v>
      </c>
      <c r="AI684" s="400">
        <f t="shared" si="732"/>
        <v>-4.7425291988463486E-2</v>
      </c>
      <c r="AJ684" s="399">
        <f t="shared" si="733"/>
        <v>-4.7425291988463486E-2</v>
      </c>
      <c r="AK684" s="400">
        <f t="shared" si="733"/>
        <v>-3.5922226379705102E-2</v>
      </c>
      <c r="AL684" s="401">
        <f t="shared" si="733"/>
        <v>-0.10734803394849818</v>
      </c>
      <c r="AM684" s="401">
        <f t="shared" si="733"/>
        <v>-4.2481145531877512E-2</v>
      </c>
      <c r="AN684" s="400">
        <f t="shared" si="733"/>
        <v>-5.5329982872101557E-4</v>
      </c>
      <c r="AO684" s="399">
        <f t="shared" si="733"/>
        <v>-5.5329982872101557E-4</v>
      </c>
      <c r="AP684" s="400">
        <f t="shared" si="733"/>
        <v>2.8857516247768056E-3</v>
      </c>
      <c r="AQ684" s="401">
        <f t="shared" si="733"/>
        <v>2.0682558225305375E-2</v>
      </c>
      <c r="AR684" s="401">
        <f t="shared" si="733"/>
        <v>3.0605991956626777E-3</v>
      </c>
      <c r="AS684" s="400">
        <f t="shared" si="733"/>
        <v>-1.4477632048460531E-2</v>
      </c>
      <c r="AT684" s="399">
        <f t="shared" si="734"/>
        <v>-1.4477632048460531E-2</v>
      </c>
      <c r="AU684" s="400">
        <f t="shared" si="733"/>
        <v>-5.7733709104336076E-2</v>
      </c>
      <c r="AV684" s="401">
        <f t="shared" si="735"/>
        <v>-4.3232646336738956E-2</v>
      </c>
      <c r="AW684" s="810">
        <f t="shared" si="733"/>
        <v>-3.8726695641655123E-2</v>
      </c>
      <c r="AX684" s="402">
        <v>0</v>
      </c>
      <c r="AY684" s="399">
        <f t="shared" si="736"/>
        <v>0</v>
      </c>
      <c r="AZ684" s="402">
        <v>0</v>
      </c>
      <c r="BA684" s="402">
        <v>0</v>
      </c>
      <c r="BB684" s="402">
        <v>0</v>
      </c>
      <c r="BC684" s="402">
        <v>0</v>
      </c>
      <c r="BD684" s="399">
        <f t="shared" si="737"/>
        <v>0</v>
      </c>
      <c r="BE684" s="1018">
        <v>0</v>
      </c>
      <c r="BF684" s="1018">
        <v>0</v>
      </c>
      <c r="BG684" s="1018">
        <v>0</v>
      </c>
      <c r="BH684" s="365"/>
    </row>
    <row r="685" spans="1:60" s="114" customFormat="1" x14ac:dyDescent="0.25">
      <c r="A685" s="398" t="s">
        <v>250</v>
      </c>
      <c r="B685" s="682"/>
      <c r="C685" s="705"/>
      <c r="D685" s="399">
        <f t="shared" si="729"/>
        <v>5.5128548733593616E-2</v>
      </c>
      <c r="E685" s="399">
        <f t="shared" si="729"/>
        <v>-4.6751791255903334E-2</v>
      </c>
      <c r="F685" s="399">
        <f t="shared" si="729"/>
        <v>-2.567404427342403E-2</v>
      </c>
      <c r="G685" s="683"/>
      <c r="H685" s="683"/>
      <c r="I685" s="683"/>
      <c r="J685" s="683"/>
      <c r="K685" s="399">
        <f t="shared" si="730"/>
        <v>-6.7237474198864576E-3</v>
      </c>
      <c r="L685" s="683"/>
      <c r="M685" s="683"/>
      <c r="N685" s="683"/>
      <c r="O685" s="683"/>
      <c r="P685" s="399">
        <f t="shared" si="731"/>
        <v>1.0109515444605963E-2</v>
      </c>
      <c r="Q685" s="400">
        <f t="shared" si="731"/>
        <v>1.5009702971952501E-2</v>
      </c>
      <c r="R685" s="400">
        <f t="shared" si="731"/>
        <v>3.4827136549897761E-3</v>
      </c>
      <c r="S685" s="400">
        <f t="shared" si="731"/>
        <v>1.2418449405671075E-2</v>
      </c>
      <c r="T685" s="400">
        <f t="shared" si="731"/>
        <v>7.1470143319524275E-3</v>
      </c>
      <c r="U685" s="399">
        <f t="shared" si="731"/>
        <v>7.147014331952431E-3</v>
      </c>
      <c r="V685" s="400">
        <f t="shared" si="731"/>
        <v>-2.4413701695232548E-3</v>
      </c>
      <c r="W685" s="401">
        <f t="shared" si="731"/>
        <v>2.9313745942265088E-3</v>
      </c>
      <c r="X685" s="401">
        <f t="shared" si="731"/>
        <v>-1.2908664332620893E-2</v>
      </c>
      <c r="Y685" s="400">
        <f t="shared" si="731"/>
        <v>-3.170928259871926E-3</v>
      </c>
      <c r="Z685" s="399">
        <f t="shared" si="732"/>
        <v>-3.1709282598719295E-3</v>
      </c>
      <c r="AA685" s="400">
        <f t="shared" si="732"/>
        <v>-4.3748725749454681E-3</v>
      </c>
      <c r="AB685" s="401">
        <f t="shared" si="732"/>
        <v>-5.3484976659438216E-4</v>
      </c>
      <c r="AC685" s="401">
        <f t="shared" si="732"/>
        <v>7.4588927257255681E-3</v>
      </c>
      <c r="AD685" s="400">
        <f t="shared" si="732"/>
        <v>-4.9576134410127572E-3</v>
      </c>
      <c r="AE685" s="399">
        <f t="shared" si="732"/>
        <v>-4.9576134410127537E-3</v>
      </c>
      <c r="AF685" s="400">
        <f t="shared" si="732"/>
        <v>-1.3557545047103471E-3</v>
      </c>
      <c r="AG685" s="401">
        <f t="shared" si="732"/>
        <v>-2.9396193690381031E-4</v>
      </c>
      <c r="AH685" s="401">
        <f t="shared" si="732"/>
        <v>-1.1324353222915362E-2</v>
      </c>
      <c r="AI685" s="400">
        <f t="shared" si="732"/>
        <v>-5.7839285743134239E-3</v>
      </c>
      <c r="AJ685" s="399">
        <f t="shared" si="733"/>
        <v>-5.7839285743134239E-3</v>
      </c>
      <c r="AK685" s="400">
        <f t="shared" si="733"/>
        <v>-9.8437000018882191E-3</v>
      </c>
      <c r="AL685" s="401">
        <f t="shared" si="733"/>
        <v>-7.9981912296349308E-3</v>
      </c>
      <c r="AM685" s="401">
        <f t="shared" si="733"/>
        <v>8.467402548952372E-3</v>
      </c>
      <c r="AN685" s="400">
        <f t="shared" si="733"/>
        <v>1.1971035041381379E-2</v>
      </c>
      <c r="AO685" s="399">
        <f t="shared" si="733"/>
        <v>1.1971035041381379E-2</v>
      </c>
      <c r="AP685" s="400">
        <f t="shared" si="733"/>
        <v>1.2165479663778352E-2</v>
      </c>
      <c r="AQ685" s="401">
        <f t="shared" si="733"/>
        <v>1.6638647088256884E-2</v>
      </c>
      <c r="AR685" s="401">
        <f t="shared" si="733"/>
        <v>1.0735809862065061E-2</v>
      </c>
      <c r="AS685" s="400">
        <f t="shared" si="733"/>
        <v>6.124766061261222E-3</v>
      </c>
      <c r="AT685" s="399">
        <f t="shared" si="734"/>
        <v>6.124766061261222E-3</v>
      </c>
      <c r="AU685" s="400">
        <f t="shared" si="733"/>
        <v>1.6763650090383109E-3</v>
      </c>
      <c r="AV685" s="401">
        <f t="shared" si="733"/>
        <v>-9.0009837756919765E-3</v>
      </c>
      <c r="AW685" s="810">
        <f t="shared" si="733"/>
        <v>-7.4733757799360472E-3</v>
      </c>
      <c r="AX685" s="402">
        <v>0</v>
      </c>
      <c r="AY685" s="399">
        <f t="shared" si="736"/>
        <v>0</v>
      </c>
      <c r="AZ685" s="402">
        <v>0</v>
      </c>
      <c r="BA685" s="402">
        <v>0</v>
      </c>
      <c r="BB685" s="402">
        <v>0</v>
      </c>
      <c r="BC685" s="402">
        <v>0</v>
      </c>
      <c r="BD685" s="399">
        <f t="shared" si="737"/>
        <v>0</v>
      </c>
      <c r="BE685" s="1018">
        <v>0</v>
      </c>
      <c r="BF685" s="1018">
        <v>0</v>
      </c>
      <c r="BG685" s="1018">
        <v>0</v>
      </c>
      <c r="BH685" s="365"/>
    </row>
    <row r="686" spans="1:60" s="114" customFormat="1" x14ac:dyDescent="0.25">
      <c r="A686" s="398" t="s">
        <v>251</v>
      </c>
      <c r="B686" s="682"/>
      <c r="C686" s="705"/>
      <c r="D686" s="399">
        <f t="shared" si="729"/>
        <v>0.11322203424728403</v>
      </c>
      <c r="E686" s="399">
        <f t="shared" si="729"/>
        <v>2.6887854716048071E-2</v>
      </c>
      <c r="F686" s="399">
        <f t="shared" si="729"/>
        <v>0.45925115899454017</v>
      </c>
      <c r="G686" s="683"/>
      <c r="H686" s="683"/>
      <c r="I686" s="683"/>
      <c r="J686" s="683"/>
      <c r="K686" s="399">
        <f t="shared" si="730"/>
        <v>-0.58316027939851534</v>
      </c>
      <c r="L686" s="683"/>
      <c r="M686" s="683"/>
      <c r="N686" s="683"/>
      <c r="O686" s="683"/>
      <c r="P686" s="399">
        <f t="shared" si="731"/>
        <v>9.2267303100920461E-2</v>
      </c>
      <c r="Q686" s="400">
        <f t="shared" si="731"/>
        <v>2.6846455316469398E-2</v>
      </c>
      <c r="R686" s="400">
        <f t="shared" si="731"/>
        <v>2.6317138080312497E-2</v>
      </c>
      <c r="S686" s="400">
        <f t="shared" si="731"/>
        <v>-9.5561597687876532E-3</v>
      </c>
      <c r="T686" s="400">
        <f t="shared" si="731"/>
        <v>-1.6801464838892666E-2</v>
      </c>
      <c r="U686" s="399">
        <f t="shared" si="731"/>
        <v>-1.680146483889261E-2</v>
      </c>
      <c r="V686" s="400">
        <f t="shared" si="731"/>
        <v>3.0103305187946544E-2</v>
      </c>
      <c r="W686" s="401">
        <f t="shared" si="731"/>
        <v>3.5686587563390659E-2</v>
      </c>
      <c r="X686" s="401">
        <f t="shared" si="731"/>
        <v>5.314088829949748E-2</v>
      </c>
      <c r="Y686" s="400">
        <f t="shared" si="731"/>
        <v>3.9326367404605433E-2</v>
      </c>
      <c r="Z686" s="399">
        <f t="shared" si="732"/>
        <v>3.9326367404605433E-2</v>
      </c>
      <c r="AA686" s="400">
        <f t="shared" si="732"/>
        <v>4.4590772161616499E-3</v>
      </c>
      <c r="AB686" s="401">
        <f t="shared" si="732"/>
        <v>-9.7328133341911538E-3</v>
      </c>
      <c r="AC686" s="401">
        <f t="shared" si="732"/>
        <v>-4.9052717417096658E-2</v>
      </c>
      <c r="AD686" s="400">
        <f t="shared" si="732"/>
        <v>-6.2483848308441975E-2</v>
      </c>
      <c r="AE686" s="399">
        <f t="shared" si="732"/>
        <v>-6.2483848308441975E-2</v>
      </c>
      <c r="AF686" s="400">
        <f t="shared" si="732"/>
        <v>-3.3987057478436278E-2</v>
      </c>
      <c r="AG686" s="401">
        <f t="shared" si="732"/>
        <v>-1.2853262159085332E-2</v>
      </c>
      <c r="AH686" s="401">
        <f t="shared" si="732"/>
        <v>-1.6562304664430233E-2</v>
      </c>
      <c r="AI686" s="400">
        <f t="shared" si="732"/>
        <v>-4.4641807813335377E-2</v>
      </c>
      <c r="AJ686" s="399">
        <f t="shared" si="733"/>
        <v>-4.4641807813335377E-2</v>
      </c>
      <c r="AK686" s="400">
        <f t="shared" si="733"/>
        <v>-6.496858652534318E-2</v>
      </c>
      <c r="AL686" s="401">
        <f t="shared" si="733"/>
        <v>-9.5826187828638082E-2</v>
      </c>
      <c r="AM686" s="401">
        <f t="shared" si="733"/>
        <v>-6.3249946358020587E-2</v>
      </c>
      <c r="AN686" s="400">
        <f t="shared" si="733"/>
        <v>-5.2024357863212911E-3</v>
      </c>
      <c r="AO686" s="399">
        <f t="shared" si="733"/>
        <v>-5.2024357863212911E-3</v>
      </c>
      <c r="AP686" s="400">
        <f t="shared" si="733"/>
        <v>8.7742333989896115E-3</v>
      </c>
      <c r="AQ686" s="401">
        <f t="shared" si="733"/>
        <v>1.5875295895161734E-2</v>
      </c>
      <c r="AR686" s="401">
        <f t="shared" si="733"/>
        <v>3.3951568512767205E-2</v>
      </c>
      <c r="AS686" s="400">
        <f t="shared" si="733"/>
        <v>3.8446054638213906E-2</v>
      </c>
      <c r="AT686" s="399">
        <f t="shared" si="734"/>
        <v>3.8446054638213906E-2</v>
      </c>
      <c r="AU686" s="400">
        <f t="shared" si="733"/>
        <v>3.2409022109965574E-2</v>
      </c>
      <c r="AV686" s="401">
        <f t="shared" si="735"/>
        <v>3.9032461877627295E-2</v>
      </c>
      <c r="AW686" s="810">
        <f t="shared" si="733"/>
        <v>3.4865578445655854E-4</v>
      </c>
      <c r="AX686" s="402">
        <v>0</v>
      </c>
      <c r="AY686" s="399">
        <f t="shared" si="736"/>
        <v>0</v>
      </c>
      <c r="AZ686" s="402">
        <v>0</v>
      </c>
      <c r="BA686" s="402">
        <v>0</v>
      </c>
      <c r="BB686" s="402">
        <v>0</v>
      </c>
      <c r="BC686" s="402">
        <v>0</v>
      </c>
      <c r="BD686" s="399">
        <f t="shared" si="737"/>
        <v>0</v>
      </c>
      <c r="BE686" s="1018">
        <v>0</v>
      </c>
      <c r="BF686" s="1018">
        <v>0</v>
      </c>
      <c r="BG686" s="1018">
        <v>0</v>
      </c>
      <c r="BH686" s="365"/>
    </row>
    <row r="687" spans="1:60" s="114" customFormat="1" x14ac:dyDescent="0.25">
      <c r="A687" s="398" t="s">
        <v>572</v>
      </c>
      <c r="B687" s="682"/>
      <c r="C687" s="705"/>
      <c r="D687" s="399">
        <f t="shared" si="729"/>
        <v>4.9593581356010663E-2</v>
      </c>
      <c r="E687" s="399">
        <f t="shared" si="729"/>
        <v>-2.2199084522734336E-2</v>
      </c>
      <c r="F687" s="399">
        <f t="shared" si="729"/>
        <v>-6.0907061993331568E-2</v>
      </c>
      <c r="G687" s="683"/>
      <c r="H687" s="683"/>
      <c r="I687" s="683"/>
      <c r="J687" s="683"/>
      <c r="K687" s="399">
        <f t="shared" si="730"/>
        <v>-4.2540296058848584E-2</v>
      </c>
      <c r="L687" s="683"/>
      <c r="M687" s="683"/>
      <c r="N687" s="683"/>
      <c r="O687" s="683"/>
      <c r="P687" s="399">
        <f t="shared" si="731"/>
        <v>3.0305922127840751E-2</v>
      </c>
      <c r="Q687" s="400">
        <f t="shared" si="731"/>
        <v>3.8474177108117971E-2</v>
      </c>
      <c r="R687" s="400">
        <f t="shared" si="731"/>
        <v>4.5289853019454263E-2</v>
      </c>
      <c r="S687" s="400">
        <f t="shared" si="731"/>
        <v>5.3172912522539098E-2</v>
      </c>
      <c r="T687" s="400">
        <f t="shared" si="731"/>
        <v>5.4246626336975662E-2</v>
      </c>
      <c r="U687" s="399">
        <f t="shared" si="731"/>
        <v>5.4246626336975676E-2</v>
      </c>
      <c r="V687" s="400">
        <f t="shared" si="731"/>
        <v>4.7778039136970651E-2</v>
      </c>
      <c r="W687" s="401">
        <f t="shared" si="731"/>
        <v>6.0519884908187216E-2</v>
      </c>
      <c r="X687" s="401">
        <f t="shared" si="731"/>
        <v>3.0338990075181427E-2</v>
      </c>
      <c r="Y687" s="400">
        <f t="shared" si="731"/>
        <v>6.0185073918602366E-2</v>
      </c>
      <c r="Z687" s="399">
        <f t="shared" si="732"/>
        <v>6.0185073918602366E-2</v>
      </c>
      <c r="AA687" s="400">
        <f t="shared" si="732"/>
        <v>5.1540603029720938E-2</v>
      </c>
      <c r="AB687" s="401">
        <f t="shared" si="732"/>
        <v>1.2019859164388719E-2</v>
      </c>
      <c r="AC687" s="401">
        <f t="shared" si="732"/>
        <v>3.6304224659145928E-2</v>
      </c>
      <c r="AD687" s="400">
        <f t="shared" si="732"/>
        <v>1.5697006176777301E-2</v>
      </c>
      <c r="AE687" s="399">
        <f t="shared" si="732"/>
        <v>1.5697006176777301E-2</v>
      </c>
      <c r="AF687" s="400">
        <f t="shared" si="732"/>
        <v>2.7830740869459192E-3</v>
      </c>
      <c r="AG687" s="401">
        <f t="shared" si="732"/>
        <v>-2.178930682771113E-3</v>
      </c>
      <c r="AH687" s="401">
        <f t="shared" si="732"/>
        <v>-3.9833283702671252E-2</v>
      </c>
      <c r="AI687" s="400">
        <f t="shared" si="732"/>
        <v>-9.318480763037712E-2</v>
      </c>
      <c r="AJ687" s="399">
        <f t="shared" si="733"/>
        <v>-9.318480763037712E-2</v>
      </c>
      <c r="AK687" s="400">
        <f t="shared" si="733"/>
        <v>-8.0638434178583712E-2</v>
      </c>
      <c r="AL687" s="401">
        <f t="shared" si="733"/>
        <v>-5.5625691558017276E-2</v>
      </c>
      <c r="AM687" s="401">
        <f t="shared" si="733"/>
        <v>-2.7776992525632302E-2</v>
      </c>
      <c r="AN687" s="400">
        <f t="shared" si="733"/>
        <v>1.0079820445283161E-2</v>
      </c>
      <c r="AO687" s="399">
        <f t="shared" si="733"/>
        <v>1.0079820445283161E-2</v>
      </c>
      <c r="AP687" s="400">
        <f t="shared" si="733"/>
        <v>-1.3467516550607517E-2</v>
      </c>
      <c r="AQ687" s="401">
        <f t="shared" si="733"/>
        <v>-5.3092434974312541E-3</v>
      </c>
      <c r="AR687" s="401">
        <f t="shared" si="733"/>
        <v>-4.8932062878948024E-3</v>
      </c>
      <c r="AS687" s="400">
        <f t="shared" si="733"/>
        <v>-8.8515991643663555E-3</v>
      </c>
      <c r="AT687" s="399">
        <f t="shared" si="734"/>
        <v>-8.8515991643663555E-3</v>
      </c>
      <c r="AU687" s="400">
        <f t="shared" si="733"/>
        <v>4.7638466807670005E-3</v>
      </c>
      <c r="AV687" s="401">
        <f t="shared" si="735"/>
        <v>-6.8377485809939936E-3</v>
      </c>
      <c r="AW687" s="810">
        <f t="shared" si="733"/>
        <v>7.6630548886344463E-4</v>
      </c>
      <c r="AX687" s="402">
        <v>0</v>
      </c>
      <c r="AY687" s="399">
        <f t="shared" si="736"/>
        <v>0</v>
      </c>
      <c r="AZ687" s="402">
        <v>0</v>
      </c>
      <c r="BA687" s="402">
        <v>0</v>
      </c>
      <c r="BB687" s="402">
        <v>0</v>
      </c>
      <c r="BC687" s="402">
        <v>0</v>
      </c>
      <c r="BD687" s="399">
        <f t="shared" si="737"/>
        <v>0</v>
      </c>
      <c r="BE687" s="1018">
        <v>0</v>
      </c>
      <c r="BF687" s="1018">
        <v>0</v>
      </c>
      <c r="BG687" s="1018">
        <v>0</v>
      </c>
      <c r="BH687" s="365"/>
    </row>
    <row r="688" spans="1:60" s="114" customFormat="1" x14ac:dyDescent="0.25">
      <c r="A688" s="398" t="s">
        <v>253</v>
      </c>
      <c r="B688" s="682"/>
      <c r="C688" s="705"/>
      <c r="D688" s="399">
        <f t="shared" si="729"/>
        <v>2.7401351367380603E-2</v>
      </c>
      <c r="E688" s="399">
        <f t="shared" si="729"/>
        <v>-2.822077665088309E-2</v>
      </c>
      <c r="F688" s="399">
        <f t="shared" si="729"/>
        <v>-6.8717444207044469E-3</v>
      </c>
      <c r="G688" s="683"/>
      <c r="H688" s="683"/>
      <c r="I688" s="683"/>
      <c r="J688" s="683"/>
      <c r="K688" s="399">
        <f t="shared" si="730"/>
        <v>4.1023334622755703E-2</v>
      </c>
      <c r="L688" s="683"/>
      <c r="M688" s="683"/>
      <c r="N688" s="683"/>
      <c r="O688" s="683"/>
      <c r="P688" s="399">
        <f t="shared" si="731"/>
        <v>1.4288654228070796E-2</v>
      </c>
      <c r="Q688" s="400">
        <f t="shared" si="731"/>
        <v>9.9766440050569477E-3</v>
      </c>
      <c r="R688" s="400">
        <f t="shared" si="731"/>
        <v>2.0681316023572476E-2</v>
      </c>
      <c r="S688" s="400">
        <f t="shared" si="731"/>
        <v>3.533849401577268E-2</v>
      </c>
      <c r="T688" s="400">
        <f t="shared" si="731"/>
        <v>4.48628502277039E-2</v>
      </c>
      <c r="U688" s="399">
        <f t="shared" si="731"/>
        <v>4.4862850227703907E-2</v>
      </c>
      <c r="V688" s="400">
        <f t="shared" si="731"/>
        <v>5.7085008407956592E-2</v>
      </c>
      <c r="W688" s="401">
        <f t="shared" si="731"/>
        <v>4.4416142800112704E-2</v>
      </c>
      <c r="X688" s="401">
        <f t="shared" si="731"/>
        <v>1.3657486200559843E-2</v>
      </c>
      <c r="Y688" s="400">
        <f t="shared" si="731"/>
        <v>4.2313717582374566E-3</v>
      </c>
      <c r="Z688" s="399">
        <f t="shared" si="732"/>
        <v>4.2313717582374427E-3</v>
      </c>
      <c r="AA688" s="400">
        <f t="shared" si="732"/>
        <v>-2.3038602431098287E-2</v>
      </c>
      <c r="AB688" s="401">
        <f t="shared" si="732"/>
        <v>-3.1611654020265667E-2</v>
      </c>
      <c r="AC688" s="401">
        <f t="shared" si="732"/>
        <v>-1.7058868336566765E-2</v>
      </c>
      <c r="AD688" s="400">
        <f t="shared" si="732"/>
        <v>-2.2675736879691086E-2</v>
      </c>
      <c r="AE688" s="399">
        <f t="shared" si="732"/>
        <v>-2.2675736879691072E-2</v>
      </c>
      <c r="AF688" s="400">
        <f t="shared" si="732"/>
        <v>-5.5411588441880218E-2</v>
      </c>
      <c r="AG688" s="401">
        <f t="shared" si="732"/>
        <v>-4.8598126612091834E-2</v>
      </c>
      <c r="AH688" s="401">
        <f t="shared" si="732"/>
        <v>-5.5911160205348989E-2</v>
      </c>
      <c r="AI688" s="400">
        <f t="shared" si="732"/>
        <v>-5.6971392836407529E-2</v>
      </c>
      <c r="AJ688" s="399">
        <f t="shared" si="733"/>
        <v>-5.6971392836407529E-2</v>
      </c>
      <c r="AK688" s="400">
        <f t="shared" si="733"/>
        <v>-9.254552681560925E-3</v>
      </c>
      <c r="AL688" s="401">
        <f t="shared" si="733"/>
        <v>-6.702007428937222E-3</v>
      </c>
      <c r="AM688" s="401">
        <f t="shared" si="733"/>
        <v>1.0212788359820903E-2</v>
      </c>
      <c r="AN688" s="400">
        <f t="shared" si="733"/>
        <v>1.7949925782220072E-2</v>
      </c>
      <c r="AO688" s="399">
        <f t="shared" si="733"/>
        <v>1.7949925782220072E-2</v>
      </c>
      <c r="AP688" s="400">
        <f t="shared" si="733"/>
        <v>1.1815985792014108E-2</v>
      </c>
      <c r="AQ688" s="401">
        <f t="shared" si="733"/>
        <v>8.5407332033130626E-3</v>
      </c>
      <c r="AR688" s="401">
        <f t="shared" si="733"/>
        <v>1.8553791482706708E-3</v>
      </c>
      <c r="AS688" s="400">
        <f t="shared" si="733"/>
        <v>-1.085863624557884E-3</v>
      </c>
      <c r="AT688" s="399">
        <f t="shared" si="734"/>
        <v>-1.085863624557884E-3</v>
      </c>
      <c r="AU688" s="400">
        <f t="shared" si="733"/>
        <v>-1.281583341437062E-3</v>
      </c>
      <c r="AV688" s="401">
        <f t="shared" si="735"/>
        <v>-3.5130224169434981E-3</v>
      </c>
      <c r="AW688" s="810">
        <f t="shared" si="733"/>
        <v>-6.2046723843532867E-3</v>
      </c>
      <c r="AX688" s="402">
        <v>0</v>
      </c>
      <c r="AY688" s="399">
        <f t="shared" si="736"/>
        <v>0</v>
      </c>
      <c r="AZ688" s="402">
        <v>0</v>
      </c>
      <c r="BA688" s="402">
        <v>0</v>
      </c>
      <c r="BB688" s="402">
        <v>0</v>
      </c>
      <c r="BC688" s="402">
        <v>0</v>
      </c>
      <c r="BD688" s="399">
        <f t="shared" si="737"/>
        <v>0</v>
      </c>
      <c r="BE688" s="1018">
        <v>0</v>
      </c>
      <c r="BF688" s="1018">
        <v>0</v>
      </c>
      <c r="BG688" s="1018">
        <v>0</v>
      </c>
      <c r="BH688" s="365"/>
    </row>
    <row r="689" spans="1:60" s="114" customFormat="1" x14ac:dyDescent="0.25">
      <c r="A689" s="398" t="s">
        <v>252</v>
      </c>
      <c r="B689" s="682"/>
      <c r="C689" s="705"/>
      <c r="D689" s="399">
        <f t="shared" si="729"/>
        <v>3.0749811767125185E-2</v>
      </c>
      <c r="E689" s="399">
        <f t="shared" si="729"/>
        <v>0.18583619617792185</v>
      </c>
      <c r="F689" s="399">
        <f t="shared" si="729"/>
        <v>-0.1133654306272408</v>
      </c>
      <c r="G689" s="683"/>
      <c r="H689" s="683"/>
      <c r="I689" s="683"/>
      <c r="J689" s="683"/>
      <c r="K689" s="399">
        <f t="shared" si="730"/>
        <v>-0.25488071689598096</v>
      </c>
      <c r="L689" s="683"/>
      <c r="M689" s="683"/>
      <c r="N689" s="683"/>
      <c r="O689" s="683"/>
      <c r="P689" s="399">
        <f t="shared" si="731"/>
        <v>-4.9239796191877239E-4</v>
      </c>
      <c r="Q689" s="400">
        <f t="shared" si="731"/>
        <v>-2.4631072382093375E-2</v>
      </c>
      <c r="R689" s="400">
        <f t="shared" si="731"/>
        <v>-1.9908946294950533E-2</v>
      </c>
      <c r="S689" s="400">
        <f t="shared" si="731"/>
        <v>-8.3241108157165178E-3</v>
      </c>
      <c r="T689" s="400">
        <f t="shared" si="731"/>
        <v>-1.0500672644196615E-2</v>
      </c>
      <c r="U689" s="399">
        <f t="shared" si="731"/>
        <v>-1.0500672644196601E-2</v>
      </c>
      <c r="V689" s="400">
        <f t="shared" si="731"/>
        <v>2.109595596641349E-2</v>
      </c>
      <c r="W689" s="401">
        <f t="shared" si="731"/>
        <v>7.5141110156923166E-2</v>
      </c>
      <c r="X689" s="401">
        <f t="shared" si="731"/>
        <v>4.5269368083514464E-2</v>
      </c>
      <c r="Y689" s="400">
        <f t="shared" si="731"/>
        <v>2.479857077822846E-2</v>
      </c>
      <c r="Z689" s="399">
        <f t="shared" si="732"/>
        <v>2.4798570778228446E-2</v>
      </c>
      <c r="AA689" s="400">
        <f t="shared" si="732"/>
        <v>-1.9917499677686357E-2</v>
      </c>
      <c r="AB689" s="401">
        <f t="shared" si="732"/>
        <v>-8.887664097323357E-2</v>
      </c>
      <c r="AC689" s="401">
        <f t="shared" si="732"/>
        <v>-5.2629915458547491E-2</v>
      </c>
      <c r="AD689" s="400">
        <f t="shared" si="732"/>
        <v>-2.2215339041031776E-2</v>
      </c>
      <c r="AE689" s="399">
        <f t="shared" si="732"/>
        <v>-2.2215339041031762E-2</v>
      </c>
      <c r="AF689" s="400">
        <f t="shared" si="732"/>
        <v>6.8687983485769544E-3</v>
      </c>
      <c r="AG689" s="401">
        <f t="shared" si="732"/>
        <v>8.9083784419751455E-3</v>
      </c>
      <c r="AH689" s="401">
        <f t="shared" si="732"/>
        <v>-1.209897717504925E-2</v>
      </c>
      <c r="AI689" s="400">
        <f t="shared" si="732"/>
        <v>-3.5688177828375127E-2</v>
      </c>
      <c r="AJ689" s="399">
        <f t="shared" si="733"/>
        <v>-3.5688177828375127E-2</v>
      </c>
      <c r="AK689" s="400">
        <f t="shared" si="733"/>
        <v>-4.4964009787650749E-2</v>
      </c>
      <c r="AL689" s="401">
        <f t="shared" si="733"/>
        <v>-4.3545855384735294E-2</v>
      </c>
      <c r="AM689" s="401">
        <f t="shared" si="733"/>
        <v>-2.4460567924145971E-2</v>
      </c>
      <c r="AN689" s="400">
        <f t="shared" si="733"/>
        <v>-7.3930830428380508E-3</v>
      </c>
      <c r="AO689" s="399">
        <f t="shared" si="733"/>
        <v>-7.3930830428380508E-3</v>
      </c>
      <c r="AP689" s="400">
        <f t="shared" si="733"/>
        <v>-3.720960367974549E-3</v>
      </c>
      <c r="AQ689" s="401">
        <f t="shared" si="733"/>
        <v>2.4311431320192603E-3</v>
      </c>
      <c r="AR689" s="401">
        <f t="shared" si="733"/>
        <v>-2.1038695668104922E-3</v>
      </c>
      <c r="AS689" s="400">
        <f t="shared" si="733"/>
        <v>-5.6928481948295868E-3</v>
      </c>
      <c r="AT689" s="399">
        <f t="shared" si="734"/>
        <v>-5.6928481948295868E-3</v>
      </c>
      <c r="AU689" s="400">
        <f t="shared" si="733"/>
        <v>-9.553616224002328E-3</v>
      </c>
      <c r="AV689" s="401">
        <f t="shared" si="735"/>
        <v>-8.3376418212326199E-3</v>
      </c>
      <c r="AW689" s="810">
        <f t="shared" si="733"/>
        <v>-7.3896759550085948E-3</v>
      </c>
      <c r="AX689" s="402">
        <v>0</v>
      </c>
      <c r="AY689" s="399">
        <f t="shared" si="736"/>
        <v>0</v>
      </c>
      <c r="AZ689" s="402">
        <v>0</v>
      </c>
      <c r="BA689" s="402">
        <v>0</v>
      </c>
      <c r="BB689" s="402">
        <v>0</v>
      </c>
      <c r="BC689" s="402">
        <v>0</v>
      </c>
      <c r="BD689" s="399">
        <f t="shared" si="737"/>
        <v>0</v>
      </c>
      <c r="BE689" s="1018">
        <v>0</v>
      </c>
      <c r="BF689" s="1018">
        <v>0</v>
      </c>
      <c r="BG689" s="1018">
        <v>0</v>
      </c>
      <c r="BH689" s="365"/>
    </row>
    <row r="690" spans="1:60" s="112" customFormat="1" x14ac:dyDescent="0.25">
      <c r="A690" s="217"/>
      <c r="B690" s="214"/>
      <c r="C690" s="559"/>
      <c r="D690" s="559"/>
      <c r="E690" s="559"/>
      <c r="F690" s="559"/>
      <c r="G690" s="558"/>
      <c r="H690" s="558"/>
      <c r="I690" s="558"/>
      <c r="J690" s="558"/>
      <c r="K690" s="559"/>
      <c r="L690" s="558"/>
      <c r="M690" s="558"/>
      <c r="N690" s="558"/>
      <c r="O690" s="558"/>
      <c r="P690" s="559"/>
      <c r="Q690" s="558"/>
      <c r="R690" s="558"/>
      <c r="S690" s="558"/>
      <c r="T690" s="558"/>
      <c r="U690" s="559"/>
      <c r="V690" s="558"/>
      <c r="W690" s="558"/>
      <c r="X690" s="558"/>
      <c r="Y690" s="558"/>
      <c r="Z690" s="559"/>
      <c r="AA690" s="558"/>
      <c r="AB690" s="558"/>
      <c r="AC690" s="558"/>
      <c r="AD690" s="558"/>
      <c r="AE690" s="559"/>
      <c r="AF690" s="558"/>
      <c r="AG690" s="558"/>
      <c r="AH690" s="558"/>
      <c r="AI690" s="558"/>
      <c r="AJ690" s="559"/>
      <c r="AK690" s="558"/>
      <c r="AL690" s="558"/>
      <c r="AM690" s="558"/>
      <c r="AN690" s="558"/>
      <c r="AO690" s="559"/>
      <c r="AP690" s="558"/>
      <c r="AQ690" s="558"/>
      <c r="AR690" s="558"/>
      <c r="AS690" s="558"/>
      <c r="AT690" s="559"/>
      <c r="AU690" s="558"/>
      <c r="AV690" s="558"/>
      <c r="AW690" s="740"/>
      <c r="AX690" s="558"/>
      <c r="AY690" s="559"/>
      <c r="AZ690" s="558"/>
      <c r="BA690" s="558"/>
      <c r="BB690" s="558"/>
      <c r="BC690" s="558"/>
      <c r="BD690" s="559"/>
      <c r="BE690" s="559"/>
      <c r="BF690" s="559"/>
      <c r="BG690" s="559"/>
      <c r="BH690" s="1034"/>
    </row>
    <row r="691" spans="1:60" s="112" customFormat="1" x14ac:dyDescent="0.25">
      <c r="A691" s="396" t="s">
        <v>549</v>
      </c>
      <c r="B691" s="397"/>
      <c r="C691" s="597"/>
      <c r="D691" s="597"/>
      <c r="E691" s="597"/>
      <c r="F691" s="597"/>
      <c r="G691" s="597"/>
      <c r="H691" s="597"/>
      <c r="I691" s="597"/>
      <c r="J691" s="597"/>
      <c r="K691" s="597"/>
      <c r="L691" s="597"/>
      <c r="M691" s="597"/>
      <c r="N691" s="597"/>
      <c r="O691" s="597"/>
      <c r="P691" s="597"/>
      <c r="Q691" s="597"/>
      <c r="R691" s="597"/>
      <c r="S691" s="597"/>
      <c r="T691" s="597"/>
      <c r="U691" s="597"/>
      <c r="V691" s="597"/>
      <c r="W691" s="597"/>
      <c r="X691" s="597"/>
      <c r="Y691" s="597"/>
      <c r="Z691" s="597"/>
      <c r="AA691" s="597"/>
      <c r="AB691" s="597"/>
      <c r="AC691" s="597"/>
      <c r="AD691" s="597"/>
      <c r="AE691" s="597"/>
      <c r="AF691" s="597"/>
      <c r="AG691" s="597"/>
      <c r="AH691" s="597"/>
      <c r="AI691" s="597"/>
      <c r="AJ691" s="597"/>
      <c r="AK691" s="597"/>
      <c r="AL691" s="597"/>
      <c r="AM691" s="597"/>
      <c r="AN691" s="597"/>
      <c r="AO691" s="597"/>
      <c r="AP691" s="597"/>
      <c r="AQ691" s="597"/>
      <c r="AR691" s="597"/>
      <c r="AS691" s="597"/>
      <c r="AT691" s="597"/>
      <c r="AU691" s="597"/>
      <c r="AV691" s="597"/>
      <c r="AW691" s="745"/>
      <c r="AX691" s="597"/>
      <c r="AY691" s="597"/>
      <c r="AZ691" s="597"/>
      <c r="BA691" s="597"/>
      <c r="BB691" s="597"/>
      <c r="BC691" s="597"/>
      <c r="BD691" s="597"/>
      <c r="BE691" s="597"/>
      <c r="BF691" s="597"/>
      <c r="BG691" s="597"/>
      <c r="BH691" s="1034"/>
    </row>
    <row r="692" spans="1:60" s="112" customFormat="1" x14ac:dyDescent="0.25">
      <c r="A692" s="506" t="s">
        <v>551</v>
      </c>
      <c r="B692" s="507"/>
      <c r="C692" s="607"/>
      <c r="D692" s="607">
        <f t="shared" ref="D692:J692" si="738">C696</f>
        <v>23.535</v>
      </c>
      <c r="E692" s="607">
        <f t="shared" si="738"/>
        <v>114.636</v>
      </c>
      <c r="F692" s="607">
        <f t="shared" si="738"/>
        <v>298.41399999999999</v>
      </c>
      <c r="G692" s="606">
        <f t="shared" si="738"/>
        <v>552.22900000000004</v>
      </c>
      <c r="H692" s="606">
        <f t="shared" si="738"/>
        <v>581.99699999999996</v>
      </c>
      <c r="I692" s="606">
        <f t="shared" si="738"/>
        <v>595.57899999999995</v>
      </c>
      <c r="J692" s="606">
        <f t="shared" si="738"/>
        <v>654.48199999999997</v>
      </c>
      <c r="K692" s="607">
        <f>F696</f>
        <v>552.22900000000004</v>
      </c>
      <c r="L692" s="606">
        <f>K696</f>
        <v>738.49400000000003</v>
      </c>
      <c r="M692" s="606">
        <f>L696</f>
        <v>849.38900000000001</v>
      </c>
      <c r="N692" s="606">
        <f>M696</f>
        <v>1035.8219999999999</v>
      </c>
      <c r="O692" s="606">
        <f>N696</f>
        <v>1404.326</v>
      </c>
      <c r="P692" s="607">
        <f>K696</f>
        <v>738.49400000000003</v>
      </c>
      <c r="Q692" s="606">
        <f>P696</f>
        <v>1829.2670000000001</v>
      </c>
      <c r="R692" s="606">
        <f>Q696</f>
        <v>2224.1909999999998</v>
      </c>
      <c r="S692" s="606">
        <f>R696</f>
        <v>2646.0169999999998</v>
      </c>
      <c r="T692" s="606">
        <f>S696</f>
        <v>3103.8109999999997</v>
      </c>
      <c r="U692" s="607">
        <f>P696</f>
        <v>1829.2670000000001</v>
      </c>
      <c r="V692" s="606">
        <f>U696</f>
        <v>3403.3339999999998</v>
      </c>
      <c r="W692" s="606">
        <f>V696</f>
        <v>3593.0139999999997</v>
      </c>
      <c r="X692" s="606">
        <f>W696</f>
        <v>3993.25</v>
      </c>
      <c r="Y692" s="606">
        <f>X696</f>
        <v>4309.0480000000007</v>
      </c>
      <c r="Z692" s="607">
        <f>U696</f>
        <v>3403.3339999999998</v>
      </c>
      <c r="AA692" s="606">
        <f>Z696</f>
        <v>5982.9570000000003</v>
      </c>
      <c r="AB692" s="606">
        <f>AA696</f>
        <v>7016.5509999999995</v>
      </c>
      <c r="AC692" s="606">
        <f>AB696</f>
        <v>8399.2289999999994</v>
      </c>
      <c r="AD692" s="606">
        <f>AC696</f>
        <v>9394.3970000000008</v>
      </c>
      <c r="AE692" s="607">
        <f>Z696</f>
        <v>5982.9570000000003</v>
      </c>
      <c r="AF692" s="606">
        <f>AE696</f>
        <v>10027.522000000001</v>
      </c>
      <c r="AG692" s="606">
        <f>AF696</f>
        <v>10519.226000000001</v>
      </c>
      <c r="AH692" s="606">
        <f>AG696</f>
        <v>10969.348</v>
      </c>
      <c r="AI692" s="606">
        <f>AH696</f>
        <v>11246.295</v>
      </c>
      <c r="AJ692" s="607">
        <f>AE696</f>
        <v>10027.522000000001</v>
      </c>
      <c r="AK692" s="606">
        <f>AJ696</f>
        <v>11330.077000000001</v>
      </c>
      <c r="AL692" s="606">
        <f>AK696</f>
        <v>9850.9289999999983</v>
      </c>
      <c r="AM692" s="606">
        <f>AL696</f>
        <v>10082.458000000001</v>
      </c>
      <c r="AN692" s="606">
        <f>AM696</f>
        <v>10190</v>
      </c>
      <c r="AO692" s="607">
        <f>AJ696</f>
        <v>11330.077000000001</v>
      </c>
      <c r="AP692" s="606">
        <f>AO696</f>
        <v>10396</v>
      </c>
      <c r="AQ692" s="606">
        <f>AP696</f>
        <v>10638</v>
      </c>
      <c r="AR692" s="606">
        <f>AQ696</f>
        <v>11009</v>
      </c>
      <c r="AS692" s="606">
        <f>AR696</f>
        <v>11848</v>
      </c>
      <c r="AT692" s="607">
        <f>AO696</f>
        <v>10396</v>
      </c>
      <c r="AU692" s="606">
        <f>AT696</f>
        <v>12747</v>
      </c>
      <c r="AV692" s="606">
        <f>AU696</f>
        <v>13868</v>
      </c>
      <c r="AW692" s="746">
        <f>AV696</f>
        <v>15665</v>
      </c>
      <c r="AX692" s="606">
        <f>AW696</f>
        <v>17298</v>
      </c>
      <c r="AY692" s="607">
        <f>AT696</f>
        <v>12747</v>
      </c>
      <c r="AZ692" s="606">
        <f>AY696</f>
        <v>17698.793643835616</v>
      </c>
      <c r="BA692" s="606">
        <f>AZ696</f>
        <v>18399.001158761494</v>
      </c>
      <c r="BB692" s="606">
        <f>BA696</f>
        <v>19066.864664816676</v>
      </c>
      <c r="BC692" s="606">
        <f>BB696</f>
        <v>19703.009939806663</v>
      </c>
      <c r="BD692" s="607">
        <f>AY696</f>
        <v>17698.793643835616</v>
      </c>
      <c r="BE692" s="607">
        <f>BD696</f>
        <v>20315.905412143591</v>
      </c>
      <c r="BF692" s="607">
        <f>BE696</f>
        <v>22702.099127382771</v>
      </c>
      <c r="BG692" s="607">
        <f>BF696</f>
        <v>24742.294753912269</v>
      </c>
      <c r="BH692" s="1034"/>
    </row>
    <row r="693" spans="1:60" s="112" customFormat="1" x14ac:dyDescent="0.25">
      <c r="A693" s="217" t="s">
        <v>552</v>
      </c>
      <c r="B693" s="214"/>
      <c r="C693" s="559"/>
      <c r="D693" s="559">
        <f t="shared" ref="D693:AW693" si="739">-D294</f>
        <v>-10</v>
      </c>
      <c r="E693" s="559">
        <f t="shared" si="739"/>
        <v>-14.6</v>
      </c>
      <c r="F693" s="559">
        <f t="shared" si="739"/>
        <v>-25.3</v>
      </c>
      <c r="G693" s="558">
        <f t="shared" si="739"/>
        <v>-17.399999999999999</v>
      </c>
      <c r="H693" s="558">
        <f t="shared" si="739"/>
        <v>-20.2</v>
      </c>
      <c r="I693" s="558">
        <f t="shared" si="739"/>
        <v>-21.2</v>
      </c>
      <c r="J693" s="558">
        <f t="shared" si="739"/>
        <v>-25.100000000000009</v>
      </c>
      <c r="K693" s="559">
        <f t="shared" si="739"/>
        <v>-83.9</v>
      </c>
      <c r="L693" s="558">
        <f t="shared" si="739"/>
        <v>-28.9</v>
      </c>
      <c r="M693" s="558">
        <f t="shared" si="739"/>
        <v>-36.1</v>
      </c>
      <c r="N693" s="558">
        <f t="shared" si="739"/>
        <v>-40.200000000000003</v>
      </c>
      <c r="O693" s="558">
        <f t="shared" si="739"/>
        <v>-50.7</v>
      </c>
      <c r="P693" s="559">
        <f t="shared" si="739"/>
        <v>-155.9</v>
      </c>
      <c r="Q693" s="558">
        <f t="shared" si="739"/>
        <v>-52.1</v>
      </c>
      <c r="R693" s="558">
        <f t="shared" si="739"/>
        <v>-60.8</v>
      </c>
      <c r="S693" s="558">
        <f t="shared" si="739"/>
        <v>-71.8</v>
      </c>
      <c r="T693" s="558">
        <f t="shared" si="739"/>
        <v>-94</v>
      </c>
      <c r="U693" s="559">
        <f t="shared" si="739"/>
        <v>-278.7</v>
      </c>
      <c r="V693" s="558">
        <f t="shared" si="739"/>
        <v>-99.2</v>
      </c>
      <c r="W693" s="558">
        <f t="shared" si="739"/>
        <v>-111.9</v>
      </c>
      <c r="X693" s="558">
        <f t="shared" si="739"/>
        <v>-126.8</v>
      </c>
      <c r="Y693" s="558">
        <f t="shared" si="739"/>
        <v>-139.39999999999998</v>
      </c>
      <c r="Z693" s="559">
        <f t="shared" si="739"/>
        <v>-477.3</v>
      </c>
      <c r="AA693" s="558">
        <f t="shared" si="739"/>
        <v>-160.1</v>
      </c>
      <c r="AB693" s="558">
        <f t="shared" si="739"/>
        <v>-176.6</v>
      </c>
      <c r="AC693" s="558">
        <f t="shared" si="739"/>
        <v>-197.5</v>
      </c>
      <c r="AD693" s="558">
        <f t="shared" si="739"/>
        <v>-235.09999999999991</v>
      </c>
      <c r="AE693" s="559">
        <f t="shared" si="739"/>
        <v>-769.3</v>
      </c>
      <c r="AF693" s="558">
        <f t="shared" si="739"/>
        <v>-245.2</v>
      </c>
      <c r="AG693" s="558">
        <f t="shared" si="739"/>
        <v>-251.8</v>
      </c>
      <c r="AH693" s="558">
        <f t="shared" si="739"/>
        <v>-300</v>
      </c>
      <c r="AI693" s="558">
        <f t="shared" si="739"/>
        <v>-313</v>
      </c>
      <c r="AJ693" s="559">
        <f t="shared" si="739"/>
        <v>-1110</v>
      </c>
      <c r="AK693" s="558">
        <f t="shared" si="739"/>
        <v>-299.39999999999998</v>
      </c>
      <c r="AL693" s="558">
        <f t="shared" si="739"/>
        <v>-334.6</v>
      </c>
      <c r="AM693" s="558">
        <f t="shared" si="739"/>
        <v>-353</v>
      </c>
      <c r="AN693" s="558">
        <f t="shared" si="739"/>
        <v>-383</v>
      </c>
      <c r="AO693" s="559">
        <f t="shared" si="739"/>
        <v>-1370</v>
      </c>
      <c r="AP693" s="558">
        <f t="shared" si="739"/>
        <v>-371</v>
      </c>
      <c r="AQ693" s="558">
        <f t="shared" si="739"/>
        <v>-356</v>
      </c>
      <c r="AR693" s="558">
        <f t="shared" si="739"/>
        <v>-403</v>
      </c>
      <c r="AS693" s="558">
        <f t="shared" si="739"/>
        <v>-440</v>
      </c>
      <c r="AT693" s="559">
        <f t="shared" si="739"/>
        <v>-1570</v>
      </c>
      <c r="AU693" s="558">
        <f t="shared" si="739"/>
        <v>-424</v>
      </c>
      <c r="AV693" s="558">
        <f t="shared" si="739"/>
        <v>-461</v>
      </c>
      <c r="AW693" s="740">
        <f t="shared" si="739"/>
        <v>-495</v>
      </c>
      <c r="AX693" s="558">
        <f>-AX692*AX704*AX3/AY3</f>
        <v>-632.20635616438358</v>
      </c>
      <c r="AY693" s="559">
        <f>IF(OR(ISBLANK(AU693),ISBLANK(AV693),ISBLANK(AW693),ISBLANK(AX693)),"n/a",SUM(AU693,AV693,AW693,AX693))</f>
        <v>-2012.2063561643836</v>
      </c>
      <c r="AZ693" s="558">
        <f>-AZ692*AZ704*AZ3/BD3</f>
        <v>-632.79248507412262</v>
      </c>
      <c r="BA693" s="558">
        <f>-BA692*BA704*BA3/BD3</f>
        <v>-665.13649394481615</v>
      </c>
      <c r="BB693" s="558">
        <f>-BB692*BB704*BB3/BD3</f>
        <v>-696.8547250100122</v>
      </c>
      <c r="BC693" s="558">
        <f>-BC692*BC704*BC3/BD3</f>
        <v>-720.10452766307083</v>
      </c>
      <c r="BD693" s="559">
        <f>IF(OR(ISBLANK(AZ693),ISBLANK(BA693),ISBLANK(BB693),ISBLANK(BC693)),"n/a",SUM(AZ693,BA693,BB693,BC693))</f>
        <v>-2714.8882316920217</v>
      </c>
      <c r="BE693" s="559">
        <f>-BE692*BE704</f>
        <v>-2945.8062847608203</v>
      </c>
      <c r="BF693" s="559">
        <f>-BF692*BF704</f>
        <v>-3291.8043734705016</v>
      </c>
      <c r="BG693" s="559">
        <f>-BG692*BG704</f>
        <v>-3587.6327393172787</v>
      </c>
      <c r="BH693" s="1034"/>
    </row>
    <row r="694" spans="1:60" s="112" customFormat="1" x14ac:dyDescent="0.25">
      <c r="A694" s="217" t="s">
        <v>554</v>
      </c>
      <c r="B694" s="214"/>
      <c r="C694" s="559"/>
      <c r="D694" s="559">
        <f t="shared" ref="D694:AT694" si="740">D710+D621</f>
        <v>40.203000000000003</v>
      </c>
      <c r="E694" s="559">
        <f t="shared" si="740"/>
        <v>184.226</v>
      </c>
      <c r="F694" s="559">
        <f t="shared" si="740"/>
        <v>239.22800000000001</v>
      </c>
      <c r="G694" s="558">
        <f t="shared" si="740"/>
        <v>57.726999999999997</v>
      </c>
      <c r="H694" s="558">
        <f t="shared" si="740"/>
        <v>40.515000000000008</v>
      </c>
      <c r="I694" s="558">
        <f t="shared" si="740"/>
        <v>76.547999999999988</v>
      </c>
      <c r="J694" s="558">
        <f t="shared" si="740"/>
        <v>89.433999999999997</v>
      </c>
      <c r="K694" s="559">
        <f t="shared" si="740"/>
        <v>264.22399999999999</v>
      </c>
      <c r="L694" s="558">
        <f t="shared" si="740"/>
        <v>141.364</v>
      </c>
      <c r="M694" s="558">
        <f t="shared" si="740"/>
        <v>175.68499999999997</v>
      </c>
      <c r="N694" s="558">
        <f t="shared" si="740"/>
        <v>284.17500000000007</v>
      </c>
      <c r="O694" s="558">
        <f t="shared" si="740"/>
        <v>368.66099999999994</v>
      </c>
      <c r="P694" s="559">
        <f t="shared" si="740"/>
        <v>969.88499999999999</v>
      </c>
      <c r="Q694" s="558">
        <f t="shared" si="740"/>
        <v>426.06</v>
      </c>
      <c r="R694" s="558">
        <f t="shared" si="740"/>
        <v>405.16500000000002</v>
      </c>
      <c r="S694" s="558">
        <f t="shared" si="740"/>
        <v>392.40299999999991</v>
      </c>
      <c r="T694" s="558">
        <f t="shared" si="740"/>
        <v>411.22199999999998</v>
      </c>
      <c r="U694" s="559">
        <f t="shared" si="740"/>
        <v>1634.85</v>
      </c>
      <c r="V694" s="558">
        <f t="shared" si="740"/>
        <v>216.85900000000001</v>
      </c>
      <c r="W694" s="558">
        <f t="shared" si="740"/>
        <v>294.72000000000003</v>
      </c>
      <c r="X694" s="558">
        <f t="shared" si="740"/>
        <v>247.61100000000005</v>
      </c>
      <c r="Y694" s="558">
        <f t="shared" si="740"/>
        <v>840.94999999999982</v>
      </c>
      <c r="Z694" s="559">
        <f t="shared" si="740"/>
        <v>1600.14</v>
      </c>
      <c r="AA694" s="558">
        <f t="shared" si="740"/>
        <v>992.52</v>
      </c>
      <c r="AB694" s="558">
        <f t="shared" si="740"/>
        <v>1356.7560000000001</v>
      </c>
      <c r="AC694" s="558">
        <f t="shared" si="740"/>
        <v>1373.0200000000004</v>
      </c>
      <c r="AD694" s="558">
        <f t="shared" si="740"/>
        <v>1025.5979999999995</v>
      </c>
      <c r="AE694" s="559">
        <f t="shared" si="740"/>
        <v>4747.8940000000002</v>
      </c>
      <c r="AF694" s="558">
        <f t="shared" si="740"/>
        <v>801.61200000000008</v>
      </c>
      <c r="AG694" s="558">
        <f t="shared" si="740"/>
        <v>744.61299999999983</v>
      </c>
      <c r="AH694" s="558">
        <f t="shared" si="740"/>
        <v>609.25900000000024</v>
      </c>
      <c r="AI694" s="558">
        <f t="shared" si="740"/>
        <v>382.82400000000007</v>
      </c>
      <c r="AJ694" s="559">
        <f t="shared" si="740"/>
        <v>2538.308</v>
      </c>
      <c r="AK694" s="558">
        <f t="shared" si="740"/>
        <v>330.45400000000006</v>
      </c>
      <c r="AL694" s="558">
        <f t="shared" si="740"/>
        <v>286.07100000000003</v>
      </c>
      <c r="AM694" s="558">
        <f t="shared" si="740"/>
        <v>434.47499999999997</v>
      </c>
      <c r="AN694" s="558">
        <f t="shared" si="740"/>
        <v>486</v>
      </c>
      <c r="AO694" s="559">
        <f t="shared" si="740"/>
        <v>1537</v>
      </c>
      <c r="AP694" s="558">
        <f t="shared" si="740"/>
        <v>507</v>
      </c>
      <c r="AQ694" s="558">
        <f t="shared" si="740"/>
        <v>586</v>
      </c>
      <c r="AR694" s="558">
        <f t="shared" si="740"/>
        <v>1037</v>
      </c>
      <c r="AS694" s="558">
        <f t="shared" si="740"/>
        <v>1177</v>
      </c>
      <c r="AT694" s="559">
        <f t="shared" si="740"/>
        <v>3307</v>
      </c>
      <c r="AU694" s="558">
        <f t="shared" ref="AU694" si="741">AU710+AU621</f>
        <v>1372</v>
      </c>
      <c r="AV694" s="558">
        <f>AV710+AV621</f>
        <v>1525</v>
      </c>
      <c r="AW694" s="740">
        <f t="shared" ref="AW694" si="742">AW710+AW621</f>
        <v>1831</v>
      </c>
      <c r="AX694" s="558">
        <f>AX710*(1-AX711)</f>
        <v>1183</v>
      </c>
      <c r="AY694" s="559">
        <f>IF(OR(ISBLANK(AU694),ISBLANK(AV694),ISBLANK(AW694),ISBLANK(AX694)),"n/a",SUM(AU694,AV694,AW694,AX694))</f>
        <v>5911</v>
      </c>
      <c r="AZ694" s="558">
        <f>AZ710*(1-AZ711)</f>
        <v>1483</v>
      </c>
      <c r="BA694" s="558">
        <f>BA710*(1-BA711)</f>
        <v>1483</v>
      </c>
      <c r="BB694" s="558">
        <f>BB710*(1-BB711)</f>
        <v>1483</v>
      </c>
      <c r="BC694" s="558">
        <f>BC710*(1-BC711)</f>
        <v>1483</v>
      </c>
      <c r="BD694" s="559">
        <f>IF(OR(ISBLANK(AZ694),ISBLANK(BA694),ISBLANK(BB694),ISBLANK(BC694)),"n/a",SUM(AZ694,BA694,BB694,BC694))</f>
        <v>5932</v>
      </c>
      <c r="BE694" s="559">
        <f>BE710*(1-BE711)</f>
        <v>5932</v>
      </c>
      <c r="BF694" s="559">
        <f>BF710*(1-BF711)</f>
        <v>5932</v>
      </c>
      <c r="BG694" s="559">
        <f>BG710*(1-BG711)</f>
        <v>5932</v>
      </c>
      <c r="BH694" s="1034"/>
    </row>
    <row r="695" spans="1:60" s="112" customFormat="1" x14ac:dyDescent="0.25">
      <c r="A695" s="217" t="s">
        <v>555</v>
      </c>
      <c r="B695" s="214"/>
      <c r="C695" s="559"/>
      <c r="D695" s="559">
        <f t="shared" ref="D695:AR695" si="743">ROUND(D696-D692-D693-D694,6)</f>
        <v>60.898000000000003</v>
      </c>
      <c r="E695" s="559">
        <f t="shared" si="743"/>
        <v>14.151999999999999</v>
      </c>
      <c r="F695" s="559">
        <f t="shared" si="743"/>
        <v>39.887</v>
      </c>
      <c r="G695" s="558">
        <f t="shared" si="743"/>
        <v>-10.558999999999999</v>
      </c>
      <c r="H695" s="558">
        <f t="shared" si="743"/>
        <v>-6.7329999999999997</v>
      </c>
      <c r="I695" s="558">
        <f t="shared" si="743"/>
        <v>3.5550000000000002</v>
      </c>
      <c r="J695" s="558">
        <f t="shared" si="743"/>
        <v>19.678000000000001</v>
      </c>
      <c r="K695" s="559">
        <f t="shared" si="743"/>
        <v>5.9409999999999998</v>
      </c>
      <c r="L695" s="558">
        <f t="shared" si="743"/>
        <v>-1.569</v>
      </c>
      <c r="M695" s="558">
        <f t="shared" si="743"/>
        <v>46.847999999999999</v>
      </c>
      <c r="N695" s="558">
        <f t="shared" si="743"/>
        <v>124.529</v>
      </c>
      <c r="O695" s="558">
        <f t="shared" si="743"/>
        <v>106.98</v>
      </c>
      <c r="P695" s="559">
        <f t="shared" si="743"/>
        <v>276.78800000000001</v>
      </c>
      <c r="Q695" s="558">
        <f t="shared" si="743"/>
        <v>20.963999999999999</v>
      </c>
      <c r="R695" s="558">
        <f t="shared" si="743"/>
        <v>77.460999999999999</v>
      </c>
      <c r="S695" s="558">
        <f t="shared" si="743"/>
        <v>137.191</v>
      </c>
      <c r="T695" s="558">
        <f t="shared" si="743"/>
        <v>-17.699000000000002</v>
      </c>
      <c r="U695" s="559">
        <f t="shared" si="743"/>
        <v>217.917</v>
      </c>
      <c r="V695" s="558">
        <f t="shared" si="743"/>
        <v>72.021000000000001</v>
      </c>
      <c r="W695" s="558">
        <f t="shared" si="743"/>
        <v>217.416</v>
      </c>
      <c r="X695" s="558">
        <f t="shared" si="743"/>
        <v>194.98699999999999</v>
      </c>
      <c r="Y695" s="558">
        <f t="shared" si="743"/>
        <v>972.35900000000004</v>
      </c>
      <c r="Z695" s="559">
        <f t="shared" si="743"/>
        <v>1456.7829999999999</v>
      </c>
      <c r="AA695" s="558">
        <f t="shared" si="743"/>
        <v>201.17400000000001</v>
      </c>
      <c r="AB695" s="558">
        <f t="shared" si="743"/>
        <v>202.52199999999999</v>
      </c>
      <c r="AC695" s="558">
        <f t="shared" si="743"/>
        <v>-180.352</v>
      </c>
      <c r="AD695" s="558">
        <f t="shared" si="743"/>
        <v>-157.37299999999999</v>
      </c>
      <c r="AE695" s="559">
        <f t="shared" si="743"/>
        <v>65.971000000000004</v>
      </c>
      <c r="AF695" s="558">
        <f t="shared" si="743"/>
        <v>-64.707999999999998</v>
      </c>
      <c r="AG695" s="558">
        <f t="shared" si="743"/>
        <v>-42.691000000000003</v>
      </c>
      <c r="AH695" s="558">
        <f t="shared" si="743"/>
        <v>-32.311999999999998</v>
      </c>
      <c r="AI695" s="558">
        <f t="shared" si="743"/>
        <v>13.958</v>
      </c>
      <c r="AJ695" s="559">
        <f t="shared" si="743"/>
        <v>-125.753</v>
      </c>
      <c r="AK695" s="558">
        <f t="shared" si="743"/>
        <v>-1510.202</v>
      </c>
      <c r="AL695" s="558">
        <f t="shared" si="743"/>
        <v>280.05799999999999</v>
      </c>
      <c r="AM695" s="558">
        <f t="shared" si="743"/>
        <v>26.067</v>
      </c>
      <c r="AN695" s="558">
        <f t="shared" si="743"/>
        <v>103</v>
      </c>
      <c r="AO695" s="559">
        <f t="shared" si="743"/>
        <v>-1101.077</v>
      </c>
      <c r="AP695" s="558">
        <f t="shared" si="743"/>
        <v>106</v>
      </c>
      <c r="AQ695" s="558">
        <f t="shared" si="743"/>
        <v>141</v>
      </c>
      <c r="AR695" s="558">
        <f t="shared" si="743"/>
        <v>205</v>
      </c>
      <c r="AS695" s="558">
        <f t="shared" ref="AS695:AX695" si="744">ROUND(AS696-AS692-AS693-AS694,6)</f>
        <v>162</v>
      </c>
      <c r="AT695" s="559">
        <f t="shared" si="744"/>
        <v>614</v>
      </c>
      <c r="AU695" s="558">
        <f t="shared" si="744"/>
        <v>173</v>
      </c>
      <c r="AV695" s="558">
        <f>ROUND(AV696-AV692-AV693-AV694,6)</f>
        <v>733</v>
      </c>
      <c r="AW695" s="740">
        <f t="shared" ref="AW695" si="745">ROUND(AW696-AW692-AW693-AW694,6)</f>
        <v>297</v>
      </c>
      <c r="AX695" s="558">
        <f t="shared" si="744"/>
        <v>-150</v>
      </c>
      <c r="AY695" s="559">
        <f>ROUND(AY696-AY692-IF(ISNUMBER(AY693),AY693,0)-IF(ISNUMBER(AY694),AY694,0),6)</f>
        <v>1053</v>
      </c>
      <c r="AZ695" s="558">
        <f>ROUND(AZ696-AZ692-AZ693-AZ694,6)</f>
        <v>-150</v>
      </c>
      <c r="BA695" s="558">
        <f>ROUND(BA696-BA692-BA693-BA694,6)</f>
        <v>-150</v>
      </c>
      <c r="BB695" s="558">
        <f>ROUND(BB696-BB692-BB693-BB694,6)</f>
        <v>-150</v>
      </c>
      <c r="BC695" s="558">
        <f>ROUND(BC696-BC692-BC693-BC694,6)</f>
        <v>-150</v>
      </c>
      <c r="BD695" s="559">
        <f>ROUND(BD696-BD692-IF(ISNUMBER(BD693),BD693,0)-IF(ISNUMBER(BD694),BD694,0),6)</f>
        <v>-600</v>
      </c>
      <c r="BE695" s="559">
        <f>ROUND(BE696-BE692-BE693-BE694,6)</f>
        <v>-600</v>
      </c>
      <c r="BF695" s="559">
        <f>ROUND(BF696-BF692-BF693-BF694,6)</f>
        <v>-600</v>
      </c>
      <c r="BG695" s="559">
        <f>ROUND(BG696-BG692-BG693-BG694,6)</f>
        <v>-600</v>
      </c>
      <c r="BH695" s="1034"/>
    </row>
    <row r="696" spans="1:60" s="112" customFormat="1" x14ac:dyDescent="0.25">
      <c r="A696" s="849" t="s">
        <v>550</v>
      </c>
      <c r="B696" s="684"/>
      <c r="C696" s="609">
        <f t="shared" ref="C696:AH696" si="746">C740</f>
        <v>23.535</v>
      </c>
      <c r="D696" s="609">
        <f t="shared" si="746"/>
        <v>114.636</v>
      </c>
      <c r="E696" s="609">
        <f t="shared" si="746"/>
        <v>298.41399999999999</v>
      </c>
      <c r="F696" s="609">
        <f t="shared" si="746"/>
        <v>552.22900000000004</v>
      </c>
      <c r="G696" s="608">
        <f t="shared" si="746"/>
        <v>581.99699999999996</v>
      </c>
      <c r="H696" s="608">
        <f t="shared" si="746"/>
        <v>595.57899999999995</v>
      </c>
      <c r="I696" s="608">
        <f t="shared" si="746"/>
        <v>654.48199999999997</v>
      </c>
      <c r="J696" s="608">
        <f t="shared" si="746"/>
        <v>738.49400000000003</v>
      </c>
      <c r="K696" s="609">
        <f t="shared" si="746"/>
        <v>738.49400000000003</v>
      </c>
      <c r="L696" s="608">
        <f t="shared" si="746"/>
        <v>849.38900000000001</v>
      </c>
      <c r="M696" s="608">
        <f t="shared" si="746"/>
        <v>1035.8219999999999</v>
      </c>
      <c r="N696" s="608">
        <f t="shared" si="746"/>
        <v>1404.326</v>
      </c>
      <c r="O696" s="608">
        <f t="shared" si="746"/>
        <v>1829.2670000000001</v>
      </c>
      <c r="P696" s="609">
        <f t="shared" si="746"/>
        <v>1829.2670000000001</v>
      </c>
      <c r="Q696" s="608">
        <f t="shared" si="746"/>
        <v>2224.1909999999998</v>
      </c>
      <c r="R696" s="608">
        <f t="shared" si="746"/>
        <v>2646.0169999999998</v>
      </c>
      <c r="S696" s="608">
        <f t="shared" si="746"/>
        <v>3103.8109999999997</v>
      </c>
      <c r="T696" s="608">
        <f t="shared" si="746"/>
        <v>3403.3339999999998</v>
      </c>
      <c r="U696" s="609">
        <f t="shared" si="746"/>
        <v>3403.3339999999998</v>
      </c>
      <c r="V696" s="608">
        <f t="shared" si="746"/>
        <v>3593.0139999999997</v>
      </c>
      <c r="W696" s="608">
        <f t="shared" si="746"/>
        <v>3993.25</v>
      </c>
      <c r="X696" s="608">
        <f t="shared" si="746"/>
        <v>4309.0480000000007</v>
      </c>
      <c r="Y696" s="608">
        <f t="shared" si="746"/>
        <v>5982.9570000000003</v>
      </c>
      <c r="Z696" s="609">
        <f t="shared" si="746"/>
        <v>5982.9570000000003</v>
      </c>
      <c r="AA696" s="608">
        <f t="shared" si="746"/>
        <v>7016.5509999999995</v>
      </c>
      <c r="AB696" s="608">
        <f t="shared" si="746"/>
        <v>8399.2289999999994</v>
      </c>
      <c r="AC696" s="608">
        <f t="shared" si="746"/>
        <v>9394.3970000000008</v>
      </c>
      <c r="AD696" s="608">
        <f t="shared" si="746"/>
        <v>10027.522000000001</v>
      </c>
      <c r="AE696" s="609">
        <f t="shared" si="746"/>
        <v>10027.522000000001</v>
      </c>
      <c r="AF696" s="608">
        <f t="shared" si="746"/>
        <v>10519.226000000001</v>
      </c>
      <c r="AG696" s="608">
        <f t="shared" si="746"/>
        <v>10969.348</v>
      </c>
      <c r="AH696" s="608">
        <f t="shared" si="746"/>
        <v>11246.295</v>
      </c>
      <c r="AI696" s="608">
        <f t="shared" ref="AI696:AY696" si="747">AI740</f>
        <v>11330.077000000001</v>
      </c>
      <c r="AJ696" s="609">
        <f t="shared" si="747"/>
        <v>11330.077000000001</v>
      </c>
      <c r="AK696" s="608">
        <f t="shared" si="747"/>
        <v>9850.9289999999983</v>
      </c>
      <c r="AL696" s="608">
        <f t="shared" si="747"/>
        <v>10082.458000000001</v>
      </c>
      <c r="AM696" s="608">
        <f t="shared" si="747"/>
        <v>10190</v>
      </c>
      <c r="AN696" s="608">
        <f t="shared" si="747"/>
        <v>10396</v>
      </c>
      <c r="AO696" s="609">
        <f t="shared" si="747"/>
        <v>10396</v>
      </c>
      <c r="AP696" s="608">
        <f t="shared" si="747"/>
        <v>10638</v>
      </c>
      <c r="AQ696" s="608">
        <f t="shared" si="747"/>
        <v>11009</v>
      </c>
      <c r="AR696" s="608">
        <f t="shared" si="747"/>
        <v>11848</v>
      </c>
      <c r="AS696" s="608">
        <f>AS740</f>
        <v>12747</v>
      </c>
      <c r="AT696" s="609">
        <f>AT740</f>
        <v>12747</v>
      </c>
      <c r="AU696" s="608">
        <f t="shared" ref="AU696" si="748">AU740</f>
        <v>13868</v>
      </c>
      <c r="AV696" s="608">
        <f>AV740</f>
        <v>15665</v>
      </c>
      <c r="AW696" s="850">
        <f t="shared" ref="AW696" si="749">AW740</f>
        <v>17298</v>
      </c>
      <c r="AX696" s="608">
        <f t="shared" si="747"/>
        <v>17698.793643835616</v>
      </c>
      <c r="AY696" s="609">
        <f t="shared" si="747"/>
        <v>17698.793643835616</v>
      </c>
      <c r="AZ696" s="608">
        <f t="shared" ref="AZ696:BG696" si="750">AZ740</f>
        <v>18399.001158761494</v>
      </c>
      <c r="BA696" s="608">
        <f t="shared" si="750"/>
        <v>19066.864664816676</v>
      </c>
      <c r="BB696" s="608">
        <f t="shared" si="750"/>
        <v>19703.009939806663</v>
      </c>
      <c r="BC696" s="608">
        <f t="shared" si="750"/>
        <v>20315.905412143591</v>
      </c>
      <c r="BD696" s="609">
        <f t="shared" si="750"/>
        <v>20315.905412143591</v>
      </c>
      <c r="BE696" s="609">
        <f t="shared" si="750"/>
        <v>22702.099127382771</v>
      </c>
      <c r="BF696" s="609">
        <f t="shared" si="750"/>
        <v>24742.294753912269</v>
      </c>
      <c r="BG696" s="609">
        <f t="shared" si="750"/>
        <v>26486.662014594989</v>
      </c>
      <c r="BH696" s="1034"/>
    </row>
    <row r="697" spans="1:60" s="112" customFormat="1" x14ac:dyDescent="0.25">
      <c r="A697" s="217"/>
      <c r="B697" s="214"/>
      <c r="C697" s="559"/>
      <c r="D697" s="559"/>
      <c r="E697" s="559"/>
      <c r="F697" s="559"/>
      <c r="G697" s="558"/>
      <c r="H697" s="558"/>
      <c r="I697" s="558"/>
      <c r="J697" s="558"/>
      <c r="K697" s="559"/>
      <c r="L697" s="558"/>
      <c r="M697" s="558"/>
      <c r="N697" s="558"/>
      <c r="O697" s="558"/>
      <c r="P697" s="559"/>
      <c r="Q697" s="558"/>
      <c r="R697" s="558"/>
      <c r="S697" s="558"/>
      <c r="T697" s="558"/>
      <c r="U697" s="559"/>
      <c r="V697" s="558"/>
      <c r="W697" s="558"/>
      <c r="X697" s="558"/>
      <c r="Y697" s="558"/>
      <c r="Z697" s="559"/>
      <c r="AA697" s="558"/>
      <c r="AB697" s="558"/>
      <c r="AC697" s="558"/>
      <c r="AD697" s="558"/>
      <c r="AE697" s="559"/>
      <c r="AF697" s="558"/>
      <c r="AG697" s="558"/>
      <c r="AH697" s="558"/>
      <c r="AI697" s="558"/>
      <c r="AJ697" s="559"/>
      <c r="AK697" s="558"/>
      <c r="AL697" s="558"/>
      <c r="AM697" s="558"/>
      <c r="AN697" s="558"/>
      <c r="AO697" s="559"/>
      <c r="AP697" s="558"/>
      <c r="AQ697" s="558"/>
      <c r="AR697" s="558"/>
      <c r="AS697" s="558"/>
      <c r="AT697" s="559"/>
      <c r="AU697" s="558"/>
      <c r="AV697" s="558"/>
      <c r="AW697" s="740"/>
      <c r="AX697" s="558"/>
      <c r="AY697" s="559"/>
      <c r="AZ697" s="558"/>
      <c r="BA697" s="558"/>
      <c r="BB697" s="558"/>
      <c r="BC697" s="558"/>
      <c r="BD697" s="559"/>
      <c r="BE697" s="559"/>
      <c r="BF697" s="559"/>
      <c r="BG697" s="559"/>
      <c r="BH697" s="1034"/>
    </row>
    <row r="698" spans="1:60" s="112" customFormat="1" x14ac:dyDescent="0.25">
      <c r="A698" s="506" t="s">
        <v>557</v>
      </c>
      <c r="B698" s="507"/>
      <c r="C698" s="607"/>
      <c r="D698" s="607"/>
      <c r="E698" s="607"/>
      <c r="F698" s="607"/>
      <c r="G698" s="606"/>
      <c r="H698" s="606"/>
      <c r="I698" s="606"/>
      <c r="J698" s="606"/>
      <c r="K698" s="607"/>
      <c r="L698" s="606"/>
      <c r="M698" s="606"/>
      <c r="N698" s="606"/>
      <c r="O698" s="606"/>
      <c r="P698" s="607"/>
      <c r="Q698" s="606"/>
      <c r="R698" s="606"/>
      <c r="S698" s="606"/>
      <c r="T698" s="606"/>
      <c r="U698" s="607"/>
      <c r="V698" s="606"/>
      <c r="W698" s="606"/>
      <c r="X698" s="606"/>
      <c r="Y698" s="606"/>
      <c r="Z698" s="607"/>
      <c r="AA698" s="606">
        <f>Z702</f>
        <v>376.14499999999998</v>
      </c>
      <c r="AB698" s="606">
        <f>AA702</f>
        <v>388.608</v>
      </c>
      <c r="AC698" s="606">
        <f>AB702</f>
        <v>380.84699999999998</v>
      </c>
      <c r="AD698" s="606">
        <f>AC702</f>
        <v>372.238</v>
      </c>
      <c r="AE698" s="607">
        <f>Z702</f>
        <v>376.14499999999998</v>
      </c>
      <c r="AF698" s="606">
        <f>AE702</f>
        <v>361.50200000000001</v>
      </c>
      <c r="AG698" s="606">
        <f>AF702</f>
        <v>346.428</v>
      </c>
      <c r="AH698" s="606">
        <f>AG702</f>
        <v>300.40600000000001</v>
      </c>
      <c r="AI698" s="606">
        <f>AH702</f>
        <v>291.476</v>
      </c>
      <c r="AJ698" s="607">
        <f>AE702</f>
        <v>361.50200000000001</v>
      </c>
      <c r="AK698" s="606">
        <f>AJ702</f>
        <v>350.65100000000001</v>
      </c>
      <c r="AL698" s="606">
        <f>AK702</f>
        <v>1253.027</v>
      </c>
      <c r="AM698" s="606">
        <f>AL702</f>
        <v>327.358</v>
      </c>
      <c r="AN698" s="606">
        <f>AM702</f>
        <v>351</v>
      </c>
      <c r="AO698" s="607">
        <f>AJ702</f>
        <v>350.65100000000001</v>
      </c>
      <c r="AP698" s="606">
        <f>AO702</f>
        <v>339</v>
      </c>
      <c r="AQ698" s="606">
        <f>AP702</f>
        <v>323</v>
      </c>
      <c r="AR698" s="606">
        <f>AQ702</f>
        <v>312</v>
      </c>
      <c r="AS698" s="606">
        <f>AR702</f>
        <v>318</v>
      </c>
      <c r="AT698" s="607">
        <f>AO702</f>
        <v>339</v>
      </c>
      <c r="AU698" s="606">
        <f>AT702</f>
        <v>313</v>
      </c>
      <c r="AV698" s="606">
        <f>AU702</f>
        <v>299</v>
      </c>
      <c r="AW698" s="746">
        <f>AV702</f>
        <v>283</v>
      </c>
      <c r="AX698" s="606">
        <f>AW702</f>
        <v>269</v>
      </c>
      <c r="AY698" s="607">
        <f>AT702</f>
        <v>313</v>
      </c>
      <c r="AZ698" s="606">
        <f>AY702</f>
        <v>257.13452054794521</v>
      </c>
      <c r="BA698" s="606">
        <f>AZ702</f>
        <v>246.03898986676677</v>
      </c>
      <c r="BB698" s="606">
        <f>BA702</f>
        <v>235.30427503490853</v>
      </c>
      <c r="BC698" s="606">
        <f>BB702</f>
        <v>224.9251001635057</v>
      </c>
      <c r="BD698" s="607">
        <f>AY702</f>
        <v>257.13452054794521</v>
      </c>
      <c r="BE698" s="607">
        <f>BD702</f>
        <v>215.00374643026615</v>
      </c>
      <c r="BF698" s="607">
        <f>BE702</f>
        <v>176.30307207281825</v>
      </c>
      <c r="BG698" s="607">
        <f>BF702</f>
        <v>144.56851909971095</v>
      </c>
      <c r="BH698" s="1034"/>
    </row>
    <row r="699" spans="1:60" s="112" customFormat="1" x14ac:dyDescent="0.25">
      <c r="A699" s="217" t="s">
        <v>558</v>
      </c>
      <c r="B699" s="214"/>
      <c r="C699" s="559"/>
      <c r="D699" s="559"/>
      <c r="E699" s="559"/>
      <c r="F699" s="559"/>
      <c r="G699" s="558"/>
      <c r="H699" s="558"/>
      <c r="I699" s="558"/>
      <c r="J699" s="558"/>
      <c r="K699" s="559"/>
      <c r="L699" s="558"/>
      <c r="M699" s="558"/>
      <c r="N699" s="558"/>
      <c r="O699" s="558"/>
      <c r="P699" s="559"/>
      <c r="Q699" s="558"/>
      <c r="R699" s="558"/>
      <c r="S699" s="558"/>
      <c r="T699" s="558"/>
      <c r="U699" s="559"/>
      <c r="V699" s="558"/>
      <c r="W699" s="558"/>
      <c r="X699" s="558"/>
      <c r="Y699" s="558"/>
      <c r="Z699" s="559"/>
      <c r="AA699" s="558"/>
      <c r="AB699" s="558"/>
      <c r="AC699" s="558"/>
      <c r="AD699" s="558"/>
      <c r="AE699" s="559">
        <f>-AE295</f>
        <v>-40</v>
      </c>
      <c r="AF699" s="558"/>
      <c r="AG699" s="558"/>
      <c r="AH699" s="558"/>
      <c r="AI699" s="558"/>
      <c r="AJ699" s="559">
        <f>-AJ295</f>
        <v>-66</v>
      </c>
      <c r="AK699" s="558"/>
      <c r="AL699" s="558"/>
      <c r="AM699" s="558"/>
      <c r="AN699" s="558"/>
      <c r="AO699" s="559">
        <f>-AO295</f>
        <v>-44</v>
      </c>
      <c r="AP699" s="558"/>
      <c r="AQ699" s="558"/>
      <c r="AR699" s="558"/>
      <c r="AS699" s="558"/>
      <c r="AT699" s="559">
        <f>-AT295</f>
        <v>-51</v>
      </c>
      <c r="AU699" s="558"/>
      <c r="AV699" s="558"/>
      <c r="AW699" s="740"/>
      <c r="AX699" s="558">
        <f>-AX698*AX705*AX3/AY3</f>
        <v>-11.865479452054794</v>
      </c>
      <c r="AY699" s="559" t="str">
        <f>IF(OR(ISBLANK(AU699),ISBLANK(AV699),ISBLANK(AW699),ISBLANK(AX699)),"n/a",SUM(AU699,AV699,AW699,AX699))</f>
        <v>n/a</v>
      </c>
      <c r="AZ699" s="558">
        <f>-AZ698*AZ705*AZ3/BD3</f>
        <v>-11.095530681178458</v>
      </c>
      <c r="BA699" s="558">
        <f>-BA698*BA705*BA3/BD3</f>
        <v>-10.734714831858247</v>
      </c>
      <c r="BB699" s="558">
        <f>-BB698*BB705*BB3/BD3</f>
        <v>-10.379174871402814</v>
      </c>
      <c r="BC699" s="558">
        <f>-BC698*BC705*BC3/BD3</f>
        <v>-9.9213537332395667</v>
      </c>
      <c r="BD699" s="559">
        <f>IF(OR(ISBLANK(AZ699),ISBLANK(BA699),ISBLANK(BB699),ISBLANK(BC699)),"n/a",SUM(AZ699,BA699,BB699,BC699))</f>
        <v>-42.130774117679081</v>
      </c>
      <c r="BE699" s="559">
        <f>-BE698*BE705</f>
        <v>-38.700674357447902</v>
      </c>
      <c r="BF699" s="559">
        <f>-BF698*BF705</f>
        <v>-31.734552973107284</v>
      </c>
      <c r="BG699" s="559">
        <f>-BG698*BG705</f>
        <v>-23.130963055953753</v>
      </c>
      <c r="BH699" s="1034"/>
    </row>
    <row r="700" spans="1:60" s="112" customFormat="1" x14ac:dyDescent="0.25">
      <c r="A700" s="217" t="s">
        <v>560</v>
      </c>
      <c r="B700" s="214"/>
      <c r="C700" s="559"/>
      <c r="D700" s="559"/>
      <c r="E700" s="559"/>
      <c r="F700" s="559"/>
      <c r="G700" s="558"/>
      <c r="H700" s="558"/>
      <c r="I700" s="558"/>
      <c r="J700" s="558"/>
      <c r="K700" s="559"/>
      <c r="L700" s="558"/>
      <c r="M700" s="558"/>
      <c r="N700" s="558"/>
      <c r="O700" s="558"/>
      <c r="P700" s="559"/>
      <c r="Q700" s="558"/>
      <c r="R700" s="558"/>
      <c r="S700" s="558"/>
      <c r="T700" s="558"/>
      <c r="U700" s="559"/>
      <c r="V700" s="558"/>
      <c r="W700" s="558"/>
      <c r="X700" s="558"/>
      <c r="Y700" s="558"/>
      <c r="Z700" s="559"/>
      <c r="AA700" s="558">
        <f t="shared" ref="AA700:AT700" si="751">-AA621</f>
        <v>0</v>
      </c>
      <c r="AB700" s="558">
        <f t="shared" si="751"/>
        <v>0</v>
      </c>
      <c r="AC700" s="558">
        <f t="shared" si="751"/>
        <v>0</v>
      </c>
      <c r="AD700" s="558">
        <f t="shared" si="751"/>
        <v>0</v>
      </c>
      <c r="AE700" s="559">
        <f t="shared" si="751"/>
        <v>0</v>
      </c>
      <c r="AF700" s="558">
        <f t="shared" si="751"/>
        <v>0</v>
      </c>
      <c r="AG700" s="558">
        <f t="shared" si="751"/>
        <v>0</v>
      </c>
      <c r="AH700" s="558">
        <f t="shared" si="751"/>
        <v>0</v>
      </c>
      <c r="AI700" s="558">
        <f t="shared" si="751"/>
        <v>0</v>
      </c>
      <c r="AJ700" s="559">
        <f t="shared" si="751"/>
        <v>0</v>
      </c>
      <c r="AK700" s="558">
        <f t="shared" si="751"/>
        <v>0</v>
      </c>
      <c r="AL700" s="558">
        <f t="shared" si="751"/>
        <v>5.3330000000000002</v>
      </c>
      <c r="AM700" s="558">
        <f t="shared" si="751"/>
        <v>-0.33300000000000018</v>
      </c>
      <c r="AN700" s="558">
        <f t="shared" si="751"/>
        <v>0</v>
      </c>
      <c r="AO700" s="559">
        <f t="shared" si="751"/>
        <v>5</v>
      </c>
      <c r="AP700" s="558">
        <f t="shared" si="751"/>
        <v>0</v>
      </c>
      <c r="AQ700" s="558">
        <f t="shared" si="751"/>
        <v>0</v>
      </c>
      <c r="AR700" s="558">
        <f t="shared" si="751"/>
        <v>5</v>
      </c>
      <c r="AS700" s="558">
        <f t="shared" si="751"/>
        <v>5</v>
      </c>
      <c r="AT700" s="559">
        <f t="shared" si="751"/>
        <v>10</v>
      </c>
      <c r="AU700" s="558">
        <f t="shared" ref="AU700" si="752">-AU621</f>
        <v>0</v>
      </c>
      <c r="AV700" s="558">
        <f>-AV621</f>
        <v>0</v>
      </c>
      <c r="AW700" s="740">
        <f t="shared" ref="AW700" si="753">-AW621</f>
        <v>0</v>
      </c>
      <c r="AX700" s="558">
        <f>AX710*AX711</f>
        <v>0</v>
      </c>
      <c r="AY700" s="559">
        <f>IF(OR(ISBLANK(AU700),ISBLANK(AV700),ISBLANK(AW700),ISBLANK(AX700)),"n/a",SUM(AU700,AV700,AW700,AX700))</f>
        <v>0</v>
      </c>
      <c r="AZ700" s="558">
        <f>AZ710*AZ711</f>
        <v>0</v>
      </c>
      <c r="BA700" s="558">
        <f>BA710*BA711</f>
        <v>0</v>
      </c>
      <c r="BB700" s="558">
        <f>BB710*BB711</f>
        <v>0</v>
      </c>
      <c r="BC700" s="558">
        <f>BC710*BC711</f>
        <v>0</v>
      </c>
      <c r="BD700" s="559">
        <f>IF(OR(ISBLANK(AZ700),ISBLANK(BA700),ISBLANK(BB700),ISBLANK(BC700)),"n/a",SUM(AZ700,BA700,BB700,BC700))</f>
        <v>0</v>
      </c>
      <c r="BE700" s="559">
        <f>BE710*BE711</f>
        <v>0</v>
      </c>
      <c r="BF700" s="559">
        <f>BF710*BF711</f>
        <v>0</v>
      </c>
      <c r="BG700" s="559">
        <f>BG710*BG711</f>
        <v>0</v>
      </c>
      <c r="BH700" s="1034"/>
    </row>
    <row r="701" spans="1:60" s="112" customFormat="1" x14ac:dyDescent="0.25">
      <c r="A701" s="217" t="s">
        <v>561</v>
      </c>
      <c r="B701" s="214"/>
      <c r="C701" s="559"/>
      <c r="D701" s="559"/>
      <c r="E701" s="559"/>
      <c r="F701" s="559"/>
      <c r="G701" s="558"/>
      <c r="H701" s="558"/>
      <c r="I701" s="558"/>
      <c r="J701" s="558"/>
      <c r="K701" s="559"/>
      <c r="L701" s="558"/>
      <c r="M701" s="558"/>
      <c r="N701" s="558"/>
      <c r="O701" s="558"/>
      <c r="P701" s="559"/>
      <c r="Q701" s="558"/>
      <c r="R701" s="558"/>
      <c r="S701" s="558"/>
      <c r="T701" s="558"/>
      <c r="U701" s="559"/>
      <c r="V701" s="558"/>
      <c r="W701" s="558"/>
      <c r="X701" s="558"/>
      <c r="Y701" s="558"/>
      <c r="Z701" s="559"/>
      <c r="AA701" s="558">
        <f t="shared" ref="AA701:AR701" si="754">ROUND(AA702-AA698-AA699-AA700,6)</f>
        <v>12.462999999999999</v>
      </c>
      <c r="AB701" s="558">
        <f t="shared" si="754"/>
        <v>-7.7610000000000001</v>
      </c>
      <c r="AC701" s="558">
        <f t="shared" si="754"/>
        <v>-8.609</v>
      </c>
      <c r="AD701" s="558">
        <f t="shared" si="754"/>
        <v>-10.736000000000001</v>
      </c>
      <c r="AE701" s="559">
        <f t="shared" si="754"/>
        <v>25.356999999999999</v>
      </c>
      <c r="AF701" s="558">
        <f t="shared" si="754"/>
        <v>-15.074</v>
      </c>
      <c r="AG701" s="558">
        <f t="shared" si="754"/>
        <v>-46.021999999999998</v>
      </c>
      <c r="AH701" s="558">
        <f t="shared" si="754"/>
        <v>-8.93</v>
      </c>
      <c r="AI701" s="558">
        <f t="shared" si="754"/>
        <v>59.174999999999997</v>
      </c>
      <c r="AJ701" s="559">
        <f t="shared" si="754"/>
        <v>55.149000000000001</v>
      </c>
      <c r="AK701" s="558">
        <f t="shared" si="754"/>
        <v>902.37599999999998</v>
      </c>
      <c r="AL701" s="558">
        <f t="shared" si="754"/>
        <v>-931.00199999999995</v>
      </c>
      <c r="AM701" s="558">
        <f t="shared" si="754"/>
        <v>23.975000000000001</v>
      </c>
      <c r="AN701" s="558">
        <f t="shared" si="754"/>
        <v>-12</v>
      </c>
      <c r="AO701" s="559">
        <f t="shared" si="754"/>
        <v>27.349</v>
      </c>
      <c r="AP701" s="558">
        <f t="shared" si="754"/>
        <v>-16</v>
      </c>
      <c r="AQ701" s="558">
        <f t="shared" si="754"/>
        <v>-11</v>
      </c>
      <c r="AR701" s="558">
        <f t="shared" si="754"/>
        <v>1</v>
      </c>
      <c r="AS701" s="558">
        <f t="shared" ref="AS701:AX701" si="755">ROUND(AS702-AS698-AS699-AS700,6)</f>
        <v>-10</v>
      </c>
      <c r="AT701" s="559">
        <f t="shared" si="755"/>
        <v>15</v>
      </c>
      <c r="AU701" s="558">
        <f t="shared" si="755"/>
        <v>-14</v>
      </c>
      <c r="AV701" s="558">
        <f>ROUND(AV702-AV698-AV699-AV700,6)</f>
        <v>-16</v>
      </c>
      <c r="AW701" s="740">
        <f t="shared" ref="AW701" si="756">ROUND(AW702-AW698-AW699-AW700,6)</f>
        <v>-14</v>
      </c>
      <c r="AX701" s="558">
        <f t="shared" si="755"/>
        <v>0</v>
      </c>
      <c r="AY701" s="559">
        <f>ROUND(AY702-AY698-IF(ISNUMBER(AY699),AY699,0)-IF(ISNUMBER(AY700),AY700,0),6)</f>
        <v>-55.865479000000001</v>
      </c>
      <c r="AZ701" s="558">
        <f>ROUND(AZ702-AZ698-AZ699-AZ700,6)</f>
        <v>0</v>
      </c>
      <c r="BA701" s="558">
        <f>ROUND(BA702-BA698-BA699-BA700,6)</f>
        <v>0</v>
      </c>
      <c r="BB701" s="558">
        <f>ROUND(BB702-BB698-BB699-BB700,6)</f>
        <v>0</v>
      </c>
      <c r="BC701" s="558">
        <f>ROUND(BC702-BC698-BC699-BC700,6)</f>
        <v>0</v>
      </c>
      <c r="BD701" s="559">
        <f>ROUND(BD702-BD698-IF(ISNUMBER(BD699),BD699,0)-IF(ISNUMBER(BD700),BD700,0),6)</f>
        <v>0</v>
      </c>
      <c r="BE701" s="559">
        <f>ROUND(BE702-BE698-BE699-BE700,6)</f>
        <v>0</v>
      </c>
      <c r="BF701" s="559">
        <f>ROUND(BF702-BF698-BF699-BF700,6)</f>
        <v>0</v>
      </c>
      <c r="BG701" s="559">
        <f>ROUND(BG702-BG698-BG699-BG700,6)</f>
        <v>0</v>
      </c>
      <c r="BH701" s="1034"/>
    </row>
    <row r="702" spans="1:60" s="112" customFormat="1" x14ac:dyDescent="0.25">
      <c r="A702" s="849" t="s">
        <v>556</v>
      </c>
      <c r="B702" s="684"/>
      <c r="C702" s="609"/>
      <c r="D702" s="609"/>
      <c r="E702" s="609"/>
      <c r="F702" s="609"/>
      <c r="G702" s="608"/>
      <c r="H702" s="608"/>
      <c r="I702" s="608"/>
      <c r="J702" s="608"/>
      <c r="K702" s="609"/>
      <c r="L702" s="608"/>
      <c r="M702" s="608"/>
      <c r="N702" s="608"/>
      <c r="O702" s="608"/>
      <c r="P702" s="609"/>
      <c r="Q702" s="608"/>
      <c r="R702" s="608"/>
      <c r="S702" s="608"/>
      <c r="T702" s="608"/>
      <c r="U702" s="609"/>
      <c r="V702" s="608"/>
      <c r="W702" s="608"/>
      <c r="X702" s="608"/>
      <c r="Y702" s="608">
        <f t="shared" ref="Y702:AY702" si="757">Y743</f>
        <v>376.14499999999998</v>
      </c>
      <c r="Z702" s="609">
        <f t="shared" si="757"/>
        <v>376.14499999999998</v>
      </c>
      <c r="AA702" s="608">
        <f t="shared" si="757"/>
        <v>388.608</v>
      </c>
      <c r="AB702" s="608">
        <f t="shared" si="757"/>
        <v>380.84699999999998</v>
      </c>
      <c r="AC702" s="608">
        <f t="shared" si="757"/>
        <v>372.238</v>
      </c>
      <c r="AD702" s="608">
        <f t="shared" si="757"/>
        <v>361.50200000000001</v>
      </c>
      <c r="AE702" s="609">
        <f t="shared" si="757"/>
        <v>361.50200000000001</v>
      </c>
      <c r="AF702" s="608">
        <f t="shared" si="757"/>
        <v>346.428</v>
      </c>
      <c r="AG702" s="608">
        <f t="shared" si="757"/>
        <v>300.40600000000001</v>
      </c>
      <c r="AH702" s="608">
        <f t="shared" si="757"/>
        <v>291.476</v>
      </c>
      <c r="AI702" s="608">
        <f t="shared" si="757"/>
        <v>350.65100000000001</v>
      </c>
      <c r="AJ702" s="609">
        <f t="shared" si="757"/>
        <v>350.65100000000001</v>
      </c>
      <c r="AK702" s="608">
        <f t="shared" si="757"/>
        <v>1253.027</v>
      </c>
      <c r="AL702" s="608">
        <f t="shared" si="757"/>
        <v>327.358</v>
      </c>
      <c r="AM702" s="608">
        <f t="shared" si="757"/>
        <v>351</v>
      </c>
      <c r="AN702" s="608">
        <f t="shared" si="757"/>
        <v>339</v>
      </c>
      <c r="AO702" s="609">
        <f t="shared" si="757"/>
        <v>339</v>
      </c>
      <c r="AP702" s="608">
        <f t="shared" si="757"/>
        <v>323</v>
      </c>
      <c r="AQ702" s="608">
        <f t="shared" si="757"/>
        <v>312</v>
      </c>
      <c r="AR702" s="608">
        <f t="shared" si="757"/>
        <v>318</v>
      </c>
      <c r="AS702" s="608">
        <f>AS743</f>
        <v>313</v>
      </c>
      <c r="AT702" s="609">
        <f>AT743</f>
        <v>313</v>
      </c>
      <c r="AU702" s="608">
        <f t="shared" ref="AU702" si="758">AU743</f>
        <v>299</v>
      </c>
      <c r="AV702" s="608">
        <f>AV743</f>
        <v>283</v>
      </c>
      <c r="AW702" s="850">
        <f t="shared" ref="AW702" si="759">AW743</f>
        <v>269</v>
      </c>
      <c r="AX702" s="608">
        <f t="shared" si="757"/>
        <v>257.13452054794521</v>
      </c>
      <c r="AY702" s="609">
        <f t="shared" si="757"/>
        <v>257.13452054794521</v>
      </c>
      <c r="AZ702" s="608">
        <f t="shared" ref="AZ702:BG702" si="760">AZ743</f>
        <v>246.03898986676677</v>
      </c>
      <c r="BA702" s="608">
        <f t="shared" si="760"/>
        <v>235.30427503490853</v>
      </c>
      <c r="BB702" s="608">
        <f t="shared" si="760"/>
        <v>224.9251001635057</v>
      </c>
      <c r="BC702" s="608">
        <f t="shared" si="760"/>
        <v>215.00374643026615</v>
      </c>
      <c r="BD702" s="609">
        <f t="shared" si="760"/>
        <v>215.00374643026615</v>
      </c>
      <c r="BE702" s="609">
        <f t="shared" si="760"/>
        <v>176.30307207281825</v>
      </c>
      <c r="BF702" s="609">
        <f t="shared" si="760"/>
        <v>144.56851909971095</v>
      </c>
      <c r="BG702" s="609">
        <f t="shared" si="760"/>
        <v>121.4375560437572</v>
      </c>
      <c r="BH702" s="1034"/>
    </row>
    <row r="703" spans="1:60" s="112" customFormat="1" x14ac:dyDescent="0.25">
      <c r="A703" s="217"/>
      <c r="B703" s="214"/>
      <c r="C703" s="559"/>
      <c r="D703" s="559"/>
      <c r="E703" s="559"/>
      <c r="F703" s="559"/>
      <c r="G703" s="558"/>
      <c r="H703" s="558"/>
      <c r="I703" s="558"/>
      <c r="J703" s="558"/>
      <c r="K703" s="559"/>
      <c r="L703" s="558"/>
      <c r="M703" s="558"/>
      <c r="N703" s="558"/>
      <c r="O703" s="558"/>
      <c r="P703" s="559"/>
      <c r="Q703" s="558"/>
      <c r="R703" s="558"/>
      <c r="S703" s="558"/>
      <c r="T703" s="558"/>
      <c r="U703" s="559"/>
      <c r="V703" s="558"/>
      <c r="W703" s="558"/>
      <c r="X703" s="558"/>
      <c r="Y703" s="558"/>
      <c r="Z703" s="559"/>
      <c r="AA703" s="558"/>
      <c r="AB703" s="558"/>
      <c r="AC703" s="558"/>
      <c r="AD703" s="558"/>
      <c r="AE703" s="559"/>
      <c r="AF703" s="558"/>
      <c r="AG703" s="558"/>
      <c r="AH703" s="558"/>
      <c r="AI703" s="558"/>
      <c r="AJ703" s="559"/>
      <c r="AK703" s="558"/>
      <c r="AL703" s="558"/>
      <c r="AM703" s="558"/>
      <c r="AN703" s="558"/>
      <c r="AO703" s="559"/>
      <c r="AP703" s="558"/>
      <c r="AQ703" s="558"/>
      <c r="AR703" s="558"/>
      <c r="AS703" s="558"/>
      <c r="AT703" s="559"/>
      <c r="AU703" s="558"/>
      <c r="AV703" s="558"/>
      <c r="AW703" s="740"/>
      <c r="AX703" s="558"/>
      <c r="AY703" s="559"/>
      <c r="AZ703" s="558"/>
      <c r="BA703" s="558"/>
      <c r="BB703" s="558"/>
      <c r="BC703" s="558"/>
      <c r="BD703" s="559"/>
      <c r="BE703" s="559"/>
      <c r="BF703" s="559"/>
      <c r="BG703" s="559"/>
      <c r="BH703" s="1034"/>
    </row>
    <row r="704" spans="1:60" s="112" customFormat="1" x14ac:dyDescent="0.25">
      <c r="A704" s="815" t="s">
        <v>553</v>
      </c>
      <c r="B704" s="670"/>
      <c r="C704" s="250"/>
      <c r="D704" s="250">
        <f>IFERROR(-D693/D692,"n/a")</f>
        <v>0.42489908646696412</v>
      </c>
      <c r="E704" s="250">
        <f>IFERROR(-E693/E692,"n/a")</f>
        <v>0.12735964269513939</v>
      </c>
      <c r="F704" s="250">
        <f>IFERROR(-F693/F692,"n/a")</f>
        <v>8.4781545101771369E-2</v>
      </c>
      <c r="G704" s="816">
        <f>IFERROR(-G693/G692*K3/G3,"n/a")</f>
        <v>0.12778515193274287</v>
      </c>
      <c r="H704" s="816">
        <f>IFERROR(-H693/H692*K3/H3,"n/a")</f>
        <v>0.13921373825290859</v>
      </c>
      <c r="I704" s="816">
        <f>IFERROR(-I693/I692*K3/I3,"n/a")</f>
        <v>0.14122172818748463</v>
      </c>
      <c r="J704" s="816">
        <f>IFERROR(-J693/J692*K3/J3,"n/a")</f>
        <v>0.15215318639646389</v>
      </c>
      <c r="K704" s="250">
        <f>IFERROR(-K693/K692,"n/a")</f>
        <v>0.15192972480619454</v>
      </c>
      <c r="L704" s="816">
        <f>IFERROR(-L693/L692*P3/L3,"n/a")</f>
        <v>0.15870887990363572</v>
      </c>
      <c r="M704" s="816">
        <f>IFERROR(-M693/M692*P3/M3,"n/a")</f>
        <v>0.17047160170040265</v>
      </c>
      <c r="N704" s="816">
        <f>IFERROR(-N693/N692*P3/N3,"n/a")</f>
        <v>0.1539734920042079</v>
      </c>
      <c r="O704" s="816">
        <f>IFERROR(-O693/O692*P3/O3,"n/a")</f>
        <v>0.14323365025673154</v>
      </c>
      <c r="P704" s="250">
        <f>IFERROR(-P693/P692,"n/a")</f>
        <v>0.21110530349603382</v>
      </c>
      <c r="Q704" s="816">
        <f>IFERROR(-Q693/Q692*U3/Q3,"n/a")</f>
        <v>0.11550771125507892</v>
      </c>
      <c r="R704" s="816">
        <f>IFERROR(-R693/R692*U3/R3,"n/a")</f>
        <v>0.10964352066352749</v>
      </c>
      <c r="S704" s="816">
        <f>IFERROR(-S693/S692*U3/S3,"n/a")</f>
        <v>0.10765565589796812</v>
      </c>
      <c r="T704" s="816">
        <f>IFERROR(-T693/T692*U3/T3,"n/a")</f>
        <v>0.12015383108336676</v>
      </c>
      <c r="U704" s="250">
        <f>IFERROR(-U693/U692,"n/a")</f>
        <v>0.15235610766498273</v>
      </c>
      <c r="V704" s="816">
        <f>IFERROR(-V693/V692*Z3/V3,"n/a")</f>
        <v>0.11723216698103089</v>
      </c>
      <c r="W704" s="816">
        <f>IFERROR(-W693/W692*Z3/W3,"n/a")</f>
        <v>0.12525955664501745</v>
      </c>
      <c r="X704" s="816">
        <f>IFERROR(-X693/X692*Z3/X3,"n/a")</f>
        <v>0.12632404138505465</v>
      </c>
      <c r="Y704" s="816">
        <f>IFERROR(-Y693/Y692*Z3/Y3,"n/a")</f>
        <v>0.12869885998424505</v>
      </c>
      <c r="Z704" s="250">
        <f>IFERROR(-Z693/Z692,"n/a")</f>
        <v>0.14024483051031725</v>
      </c>
      <c r="AA704" s="816">
        <f>IFERROR(-AA693/AA692*AE3/AA3,"n/a")</f>
        <v>0.10852400317175009</v>
      </c>
      <c r="AB704" s="816">
        <f>IFERROR(-AB693/AB692*AE3/AB3,"n/a")</f>
        <v>0.10095282701439202</v>
      </c>
      <c r="AC704" s="816">
        <f>IFERROR(-AC693/AC692*AE3/AC3,"n/a")</f>
        <v>9.3289489143431575E-2</v>
      </c>
      <c r="AD704" s="816">
        <f>IFERROR(-AD693/AD692*AE3/AD3,"n/a")</f>
        <v>9.9286169793779577E-2</v>
      </c>
      <c r="AE704" s="250">
        <f>IFERROR(-AE693/AE692,"n/a")</f>
        <v>0.12858190356373944</v>
      </c>
      <c r="AF704" s="816">
        <f>IFERROR(-AF693/AF692*AJ3/AF3,"n/a")</f>
        <v>9.9169288506394906E-2</v>
      </c>
      <c r="AG704" s="816">
        <f>IFERROR(-AG693/AG692*AJ3/AG3,"n/a")</f>
        <v>9.6011534780889099E-2</v>
      </c>
      <c r="AH704" s="816">
        <f>IFERROR(-AH693/AH692*AJ3/AH3,"n/a")</f>
        <v>0.10850393216664726</v>
      </c>
      <c r="AI704" s="816">
        <f>IFERROR(-AI693/AI692*AJ3/AI3,"n/a")</f>
        <v>0.11041800684233069</v>
      </c>
      <c r="AJ704" s="250">
        <f>IFERROR(-AJ693/AJ692,"n/a")</f>
        <v>0.1106953442734905</v>
      </c>
      <c r="AK704" s="816">
        <f>IFERROR(-AK693/AK692*AO3/AK3,"n/a")</f>
        <v>0.10716902747733603</v>
      </c>
      <c r="AL704" s="816">
        <f>IFERROR(-AL693/AL692*AO3/AL3,"n/a")</f>
        <v>0.13623861496483464</v>
      </c>
      <c r="AM704" s="816">
        <f>IFERROR(-AM693/AM692*AO3/AM3,"n/a")</f>
        <v>0.13890354221508111</v>
      </c>
      <c r="AN704" s="816">
        <f>IFERROR(-AN693/AN692*AO3/AN3,"n/a")</f>
        <v>0.14911784784742074</v>
      </c>
      <c r="AO704" s="250">
        <f>IFERROR(-AO693/AO692,"n/a")</f>
        <v>0.12091709526775501</v>
      </c>
      <c r="AP704" s="816">
        <f>IFERROR(-AP693/AP692*AT3/AP3,"n/a")</f>
        <v>0.14353153579779207</v>
      </c>
      <c r="AQ704" s="816">
        <f>IFERROR(-AQ693/AQ692*AT3/AQ3,"n/a")</f>
        <v>0.13459524119422597</v>
      </c>
      <c r="AR704" s="816">
        <f>IFERROR(-AR693/AR692*AT3/AR3,"n/a")</f>
        <v>0.14562986015394519</v>
      </c>
      <c r="AS704" s="816">
        <f>IFERROR(-AS693/AS692*AT3/AS3,"n/a")</f>
        <v>0.14774095059155096</v>
      </c>
      <c r="AT704" s="250">
        <f>IFERROR(-AT693/AT692,"n/a")</f>
        <v>0.15101962293189689</v>
      </c>
      <c r="AU704" s="816">
        <f>IFERROR(-AU693/AU692*AY3/AU3,"n/a")</f>
        <v>0.13489884330082025</v>
      </c>
      <c r="AV704" s="816">
        <f>IFERROR(-AV693/AV692*AY3/AV3,"n/a")</f>
        <v>0.13333328050662921</v>
      </c>
      <c r="AW704" s="817">
        <f>IFERROR(-AW693/AW692*AY3/AW3,"n/a")</f>
        <v>0.12536601951178894</v>
      </c>
      <c r="AX704" s="605">
        <v>0.14499999999999999</v>
      </c>
      <c r="AY704" s="250">
        <f>AVERAGE(AU704,AV704,AW704,AX704)</f>
        <v>0.1346495358298096</v>
      </c>
      <c r="AZ704" s="605">
        <v>0.14499999999999999</v>
      </c>
      <c r="BA704" s="605">
        <v>0.14499999999999999</v>
      </c>
      <c r="BB704" s="605">
        <v>0.14499999999999999</v>
      </c>
      <c r="BC704" s="605">
        <v>0.14499999999999999</v>
      </c>
      <c r="BD704" s="250">
        <f>AVERAGE(AZ704,BA704,BB704,BC704)</f>
        <v>0.14499999999999999</v>
      </c>
      <c r="BE704" s="1019">
        <v>0.14499999999999999</v>
      </c>
      <c r="BF704" s="1019">
        <v>0.14499999999999999</v>
      </c>
      <c r="BG704" s="1019">
        <v>0.14499999999999999</v>
      </c>
      <c r="BH704" s="1034"/>
    </row>
    <row r="705" spans="1:60" s="112" customFormat="1" x14ac:dyDescent="0.25">
      <c r="A705" s="815" t="s">
        <v>559</v>
      </c>
      <c r="B705" s="670"/>
      <c r="C705" s="250"/>
      <c r="D705" s="250"/>
      <c r="E705" s="250"/>
      <c r="F705" s="250"/>
      <c r="G705" s="816"/>
      <c r="H705" s="816"/>
      <c r="I705" s="816"/>
      <c r="J705" s="816"/>
      <c r="K705" s="250"/>
      <c r="L705" s="816"/>
      <c r="M705" s="816"/>
      <c r="N705" s="816"/>
      <c r="O705" s="816"/>
      <c r="P705" s="250"/>
      <c r="Q705" s="816"/>
      <c r="R705" s="816"/>
      <c r="S705" s="816"/>
      <c r="T705" s="816"/>
      <c r="U705" s="250"/>
      <c r="V705" s="816"/>
      <c r="W705" s="816"/>
      <c r="X705" s="816"/>
      <c r="Y705" s="816"/>
      <c r="Z705" s="250"/>
      <c r="AA705" s="816"/>
      <c r="AB705" s="816"/>
      <c r="AC705" s="816"/>
      <c r="AD705" s="816"/>
      <c r="AE705" s="250">
        <f>IFERROR(-AE699/AE698,"n/a")</f>
        <v>0.10634196918741444</v>
      </c>
      <c r="AF705" s="816"/>
      <c r="AG705" s="816"/>
      <c r="AH705" s="816"/>
      <c r="AI705" s="816"/>
      <c r="AJ705" s="250">
        <f>IFERROR(-AJ699/AJ698,"n/a")</f>
        <v>0.18257160402985323</v>
      </c>
      <c r="AK705" s="816"/>
      <c r="AL705" s="816"/>
      <c r="AM705" s="816"/>
      <c r="AN705" s="816"/>
      <c r="AO705" s="250">
        <f>IFERROR(-AO699/AO698,"n/a")</f>
        <v>0.12548089125654854</v>
      </c>
      <c r="AP705" s="816"/>
      <c r="AQ705" s="816"/>
      <c r="AR705" s="816"/>
      <c r="AS705" s="816"/>
      <c r="AT705" s="250">
        <f>IFERROR(-AT699/AT698,"n/a")</f>
        <v>0.15044247787610621</v>
      </c>
      <c r="AU705" s="816"/>
      <c r="AV705" s="816"/>
      <c r="AW705" s="817"/>
      <c r="AX705" s="605">
        <v>0.17499999999999999</v>
      </c>
      <c r="AY705" s="250">
        <f>AVERAGE(AU705,AV705,AW705,AX705)</f>
        <v>0.17499999999999999</v>
      </c>
      <c r="AZ705" s="605">
        <v>0.17499999999999999</v>
      </c>
      <c r="BA705" s="605">
        <v>0.17499999999999999</v>
      </c>
      <c r="BB705" s="605">
        <v>0.17499999999999999</v>
      </c>
      <c r="BC705" s="605">
        <v>0.17499999999999999</v>
      </c>
      <c r="BD705" s="250">
        <f>AVERAGE(AZ705,BA705,BB705,BC705)</f>
        <v>0.17499999999999999</v>
      </c>
      <c r="BE705" s="1019">
        <v>0.18</v>
      </c>
      <c r="BF705" s="1019">
        <v>0.18</v>
      </c>
      <c r="BG705" s="1019">
        <v>0.16</v>
      </c>
      <c r="BH705" s="1034"/>
    </row>
    <row r="706" spans="1:60" s="112" customFormat="1" x14ac:dyDescent="0.25">
      <c r="A706" s="506" t="s">
        <v>562</v>
      </c>
      <c r="B706" s="507"/>
      <c r="C706" s="607"/>
      <c r="D706" s="607">
        <f>IFERROR(-D692/D693,"n/a")</f>
        <v>2.3534999999999999</v>
      </c>
      <c r="E706" s="607">
        <f>IFERROR(-E692/E693,"n/a")</f>
        <v>7.8517808219178082</v>
      </c>
      <c r="F706" s="607">
        <f>IFERROR(-F692/F693,"n/a")</f>
        <v>11.795019762845849</v>
      </c>
      <c r="G706" s="606">
        <f>IFERROR(-G692/G693*G3/K3,"n/a")</f>
        <v>7.8256353330184236</v>
      </c>
      <c r="H706" s="606">
        <f>IFERROR(-H692/H693*H3/K3,"n/a")</f>
        <v>7.1831991048419903</v>
      </c>
      <c r="I706" s="606">
        <f>IFERROR(-I692/I693*I3/K3,"n/a")</f>
        <v>7.0810633238562932</v>
      </c>
      <c r="J706" s="606">
        <f>IFERROR(-J692/J693*J3/K3,"n/a")</f>
        <v>6.5723237461114419</v>
      </c>
      <c r="K706" s="607">
        <f>IFERROR(-K692/K693,"n/a")</f>
        <v>6.5819904648390946</v>
      </c>
      <c r="L706" s="606">
        <f>IFERROR(-L692/L693*L3/P3,"n/a")</f>
        <v>6.3008446698582743</v>
      </c>
      <c r="M706" s="606">
        <f>IFERROR(-M692/M693*M3/P3,"n/a")</f>
        <v>5.8660796873221273</v>
      </c>
      <c r="N706" s="606">
        <f>IFERROR(-N692/N693*N3/P3,"n/a")</f>
        <v>6.4946244121856465</v>
      </c>
      <c r="O706" s="606">
        <f>IFERROR(-O692/O693*O3/P3,"n/a")</f>
        <v>6.981599632541676</v>
      </c>
      <c r="P706" s="607">
        <f>IFERROR(-P692/P693,"n/a")</f>
        <v>4.7369724182168058</v>
      </c>
      <c r="Q706" s="606">
        <f>IFERROR(-Q692/Q693*Q3/U3,"n/a")</f>
        <v>8.6574306523282427</v>
      </c>
      <c r="R706" s="606">
        <f>IFERROR(-R692/R693*R3/U3,"n/a")</f>
        <v>9.1204659787310742</v>
      </c>
      <c r="S706" s="606">
        <f>IFERROR(-S692/S693*S3/U3,"n/a")</f>
        <v>9.2888756439119309</v>
      </c>
      <c r="T706" s="606">
        <f>IFERROR(-T692/T693*T3/U3,"n/a")</f>
        <v>8.3226642961235786</v>
      </c>
      <c r="U706" s="607">
        <f>IFERROR(-U692/U693,"n/a")</f>
        <v>6.5635701471115899</v>
      </c>
      <c r="V706" s="606">
        <f>IFERROR(-V692/V693*V3/Z3,"n/a")</f>
        <v>8.5300820222986058</v>
      </c>
      <c r="W706" s="606">
        <f>IFERROR(-W692/W693*W3/Z3,"n/a")</f>
        <v>7.983422796505466</v>
      </c>
      <c r="X706" s="606">
        <f>IFERROR(-X692/X693*X3/Z3,"n/a")</f>
        <v>7.9161495233662578</v>
      </c>
      <c r="Y706" s="606">
        <f>IFERROR(-Y692/Y693*Y3/Z3,"n/a")</f>
        <v>7.7700765968122587</v>
      </c>
      <c r="Z706" s="607">
        <f>IFERROR(-Z692/Z693,"n/a")</f>
        <v>7.1303875968992241</v>
      </c>
      <c r="AA706" s="606">
        <f>IFERROR(-AA692/AA693*AA3/AE3,"n/a")</f>
        <v>9.2145513506113481</v>
      </c>
      <c r="AB706" s="606">
        <f>IFERROR(-AB692/AB693*AB3/AE3,"n/a")</f>
        <v>9.905616609007275</v>
      </c>
      <c r="AC706" s="606">
        <f>IFERROR(-AC692/AC693*AC3/AE3,"n/a")</f>
        <v>10.719321213802671</v>
      </c>
      <c r="AD706" s="606">
        <f>IFERROR(-AD692/AD693*AD3/AE3,"n/a")</f>
        <v>10.071896237683765</v>
      </c>
      <c r="AE706" s="607">
        <f>IFERROR(-AE692/AE693,"n/a")</f>
        <v>7.7771441570258686</v>
      </c>
      <c r="AF706" s="606">
        <f>IFERROR(-AF692/AF693*AF3/AJ3,"n/a")</f>
        <v>10.083767011553331</v>
      </c>
      <c r="AG706" s="606">
        <f>IFERROR(-AG692/AG693*AG3/AJ3,"n/a")</f>
        <v>10.415415213204653</v>
      </c>
      <c r="AH706" s="606">
        <f>IFERROR(-AH692/AH693*AH3/AJ3,"n/a")</f>
        <v>9.2162558538812789</v>
      </c>
      <c r="AI706" s="606">
        <f>IFERROR(-AI692/AI693*AI3/AJ3,"n/a")</f>
        <v>9.0564938509343964</v>
      </c>
      <c r="AJ706" s="607">
        <f>IFERROR(-AJ692/AJ693,"n/a")</f>
        <v>9.0338036036036051</v>
      </c>
      <c r="AK706" s="606">
        <f>IFERROR(-AK692/AK693*AK3/AO3,"n/a")</f>
        <v>9.3310541631207631</v>
      </c>
      <c r="AL706" s="606">
        <f>IFERROR(-AL692/AL693*AL3/AO3,"n/a")</f>
        <v>7.3400628761391626</v>
      </c>
      <c r="AM706" s="606">
        <f>IFERROR(-AM692/AM693*AM3/AO3,"n/a")</f>
        <v>7.1992404517055384</v>
      </c>
      <c r="AN706" s="606">
        <f>IFERROR(-AN692/AN693*AN3/AO3,"n/a")</f>
        <v>6.7061053685754137</v>
      </c>
      <c r="AO706" s="607">
        <f>IFERROR(-AO692/AO693,"n/a")</f>
        <v>8.2701291970802924</v>
      </c>
      <c r="AP706" s="606">
        <f>IFERROR(-AP692/AP693*AP3/AT3,"n/a")</f>
        <v>6.9671100113413758</v>
      </c>
      <c r="AQ706" s="606">
        <f>IFERROR(-AQ692/AQ693*AQ3/AT3,"n/a")</f>
        <v>7.4296831829066132</v>
      </c>
      <c r="AR706" s="606">
        <f>IFERROR(-AR692/AR693*AR3/AT3,"n/a")</f>
        <v>6.8667236165914112</v>
      </c>
      <c r="AS706" s="606">
        <f>IFERROR(-AS692/AS693*AS3/AT3,"n/a")</f>
        <v>6.7686040735221056</v>
      </c>
      <c r="AT706" s="607">
        <f>IFERROR(-AT692/AT693,"n/a")</f>
        <v>6.6216560509554139</v>
      </c>
      <c r="AU706" s="606">
        <f>IFERROR(-AU692/AU693*AU3/AY3,"n/a")</f>
        <v>7.4129620056862233</v>
      </c>
      <c r="AV706" s="606">
        <f>IFERROR(-AV692/AV693*AV3/AY3,"n/a")</f>
        <v>7.5000029715032834</v>
      </c>
      <c r="AW706" s="746">
        <f>IFERROR(-AW692/AW693*AW3/AY3,"n/a")</f>
        <v>7.9766431437664309</v>
      </c>
      <c r="AX706" s="606">
        <f>IFERROR(-AX692/AX693*AX3/AY3,"n/a")</f>
        <v>6.8965517241379306</v>
      </c>
      <c r="AY706" s="607">
        <f>AVERAGE(AU706,AV706,AW706,AX706)</f>
        <v>7.4465399612734675</v>
      </c>
      <c r="AZ706" s="606">
        <f>IFERROR(-AZ692/AZ693*AZ3/BD3,"n/a")</f>
        <v>6.8965517241379315</v>
      </c>
      <c r="BA706" s="606">
        <f>IFERROR(-BA692/BA693*BA3/BD3,"n/a")</f>
        <v>6.8965517241379315</v>
      </c>
      <c r="BB706" s="606">
        <f>IFERROR(-BB692/BB693*BB3/BD3,"n/a")</f>
        <v>6.8965517241379306</v>
      </c>
      <c r="BC706" s="606">
        <f>IFERROR(-BC692/BC693*BC3/BD3,"n/a")</f>
        <v>6.8965517241379315</v>
      </c>
      <c r="BD706" s="607">
        <f>AVERAGE(AZ706,BA706,BB706,BC706)</f>
        <v>6.8965517241379315</v>
      </c>
      <c r="BE706" s="607">
        <f>IFERROR(-BE692/BE693,"n/a")</f>
        <v>6.8965517241379324</v>
      </c>
      <c r="BF706" s="607">
        <f>IFERROR(-BF692/BF693,"n/a")</f>
        <v>6.8965517241379315</v>
      </c>
      <c r="BG706" s="607">
        <f>IFERROR(-BG692/BG693,"n/a")</f>
        <v>6.8965517241379315</v>
      </c>
      <c r="BH706" s="1034"/>
    </row>
    <row r="707" spans="1:60" s="112" customFormat="1" x14ac:dyDescent="0.25">
      <c r="A707" s="506" t="s">
        <v>563</v>
      </c>
      <c r="B707" s="507"/>
      <c r="C707" s="607"/>
      <c r="D707" s="607"/>
      <c r="E707" s="607"/>
      <c r="F707" s="607"/>
      <c r="G707" s="606"/>
      <c r="H707" s="606"/>
      <c r="I707" s="606"/>
      <c r="J707" s="606"/>
      <c r="K707" s="607"/>
      <c r="L707" s="606"/>
      <c r="M707" s="606"/>
      <c r="N707" s="606"/>
      <c r="O707" s="606"/>
      <c r="P707" s="607"/>
      <c r="Q707" s="606"/>
      <c r="R707" s="606"/>
      <c r="S707" s="606"/>
      <c r="T707" s="606"/>
      <c r="U707" s="607"/>
      <c r="V707" s="606"/>
      <c r="W707" s="606"/>
      <c r="X707" s="606"/>
      <c r="Y707" s="606"/>
      <c r="Z707" s="607"/>
      <c r="AA707" s="606"/>
      <c r="AB707" s="606"/>
      <c r="AC707" s="606"/>
      <c r="AD707" s="606"/>
      <c r="AE707" s="607">
        <f t="shared" ref="AE707" si="761">IFERROR(-AE698/AE699,"n/a")</f>
        <v>9.4036249999999999</v>
      </c>
      <c r="AF707" s="606"/>
      <c r="AG707" s="606"/>
      <c r="AH707" s="606"/>
      <c r="AI707" s="606"/>
      <c r="AJ707" s="607">
        <f t="shared" ref="AJ707" si="762">IFERROR(-AJ698/AJ699,"n/a")</f>
        <v>5.4773030303030303</v>
      </c>
      <c r="AK707" s="606"/>
      <c r="AL707" s="606"/>
      <c r="AM707" s="606"/>
      <c r="AN707" s="606"/>
      <c r="AO707" s="607">
        <f t="shared" ref="AO707" si="763">IFERROR(-AO698/AO699,"n/a")</f>
        <v>7.9693409090909091</v>
      </c>
      <c r="AP707" s="606"/>
      <c r="AQ707" s="606"/>
      <c r="AR707" s="606"/>
      <c r="AS707" s="606"/>
      <c r="AT707" s="607">
        <f>IFERROR(-AT698/AT699,"n/a")</f>
        <v>6.6470588235294121</v>
      </c>
      <c r="AU707" s="606"/>
      <c r="AV707" s="606"/>
      <c r="AW707" s="746"/>
      <c r="AX707" s="606">
        <f>IFERROR(-AX698/AX699*AX3/AY3,"n/a")</f>
        <v>5.7142857142857144</v>
      </c>
      <c r="AY707" s="607">
        <f>IFERROR(AVERAGE(AU707,AV707,AW707,AX707),"n/a")</f>
        <v>5.7142857142857144</v>
      </c>
      <c r="AZ707" s="606">
        <f>IFERROR(-AZ698/AZ699*AZ3/BD3,"n/a")</f>
        <v>5.7142857142857144</v>
      </c>
      <c r="BA707" s="606">
        <f>IFERROR(-BA698/BA699*BA3/BD3,"n/a")</f>
        <v>5.7142857142857153</v>
      </c>
      <c r="BB707" s="606">
        <f>IFERROR(-BB698/BB699*BB3/BD3,"n/a")</f>
        <v>5.7142857142857144</v>
      </c>
      <c r="BC707" s="606">
        <f>IFERROR(-BC698/BC699*BC3/BD3,"n/a")</f>
        <v>5.7142857142857144</v>
      </c>
      <c r="BD707" s="607">
        <f>IFERROR(AVERAGE(AZ707,BA707,BB707,BC707),"n/a")</f>
        <v>5.7142857142857153</v>
      </c>
      <c r="BE707" s="607">
        <f>IFERROR(-BE698/BE699,"n/a")</f>
        <v>5.5555555555555562</v>
      </c>
      <c r="BF707" s="607">
        <f>IFERROR(-BF698/BF699,"n/a")</f>
        <v>5.5555555555555554</v>
      </c>
      <c r="BG707" s="607">
        <f>IFERROR(-BG698/BG699,"n/a")</f>
        <v>6.25</v>
      </c>
      <c r="BH707" s="1034"/>
    </row>
    <row r="708" spans="1:60" s="112" customFormat="1" x14ac:dyDescent="0.25">
      <c r="A708" s="217"/>
      <c r="B708" s="214"/>
      <c r="C708" s="559"/>
      <c r="D708" s="559"/>
      <c r="E708" s="559"/>
      <c r="F708" s="559"/>
      <c r="G708" s="558"/>
      <c r="H708" s="558"/>
      <c r="I708" s="558"/>
      <c r="J708" s="558"/>
      <c r="K708" s="559"/>
      <c r="L708" s="558"/>
      <c r="M708" s="558"/>
      <c r="N708" s="558"/>
      <c r="O708" s="558"/>
      <c r="P708" s="559"/>
      <c r="Q708" s="558"/>
      <c r="R708" s="558"/>
      <c r="S708" s="558"/>
      <c r="T708" s="558"/>
      <c r="U708" s="559"/>
      <c r="V708" s="558"/>
      <c r="W708" s="558"/>
      <c r="X708" s="558"/>
      <c r="Y708" s="558"/>
      <c r="Z708" s="559"/>
      <c r="AA708" s="558"/>
      <c r="AB708" s="558"/>
      <c r="AC708" s="558"/>
      <c r="AD708" s="558"/>
      <c r="AE708" s="559"/>
      <c r="AF708" s="558"/>
      <c r="AG708" s="558"/>
      <c r="AH708" s="558"/>
      <c r="AI708" s="558"/>
      <c r="AJ708" s="559"/>
      <c r="AK708" s="558"/>
      <c r="AL708" s="558"/>
      <c r="AM708" s="558"/>
      <c r="AN708" s="558"/>
      <c r="AO708" s="559"/>
      <c r="AP708" s="558"/>
      <c r="AQ708" s="558"/>
      <c r="AR708" s="558"/>
      <c r="AS708" s="558"/>
      <c r="AT708" s="559"/>
      <c r="AU708" s="558"/>
      <c r="AV708" s="558"/>
      <c r="AW708" s="740"/>
      <c r="AX708" s="558"/>
      <c r="AY708" s="559"/>
      <c r="AZ708" s="558"/>
      <c r="BA708" s="558"/>
      <c r="BB708" s="558"/>
      <c r="BC708" s="558"/>
      <c r="BD708" s="559"/>
      <c r="BE708" s="559"/>
      <c r="BF708" s="559"/>
      <c r="BG708" s="559"/>
      <c r="BH708" s="1034"/>
    </row>
    <row r="709" spans="1:60" s="112" customFormat="1" x14ac:dyDescent="0.25">
      <c r="A709" s="506" t="s">
        <v>564</v>
      </c>
      <c r="B709" s="507"/>
      <c r="C709" s="607">
        <f t="shared" ref="C709:AH709" si="764">C394</f>
        <v>6.94</v>
      </c>
      <c r="D709" s="607">
        <f t="shared" si="764"/>
        <v>10.622999999999999</v>
      </c>
      <c r="E709" s="607">
        <f t="shared" si="764"/>
        <v>16.919</v>
      </c>
      <c r="F709" s="607">
        <f t="shared" si="764"/>
        <v>28.824999999999999</v>
      </c>
      <c r="G709" s="606">
        <f t="shared" si="764"/>
        <v>17.850000000000001</v>
      </c>
      <c r="H709" s="606">
        <f t="shared" si="764"/>
        <v>22.198</v>
      </c>
      <c r="I709" s="606">
        <f t="shared" si="764"/>
        <v>28.450000000000003</v>
      </c>
      <c r="J709" s="606">
        <f t="shared" si="764"/>
        <v>37.584999999999994</v>
      </c>
      <c r="K709" s="607">
        <f t="shared" si="764"/>
        <v>106.083</v>
      </c>
      <c r="L709" s="606">
        <f t="shared" si="764"/>
        <v>44.268000000000001</v>
      </c>
      <c r="M709" s="606">
        <f t="shared" si="764"/>
        <v>54.715000000000003</v>
      </c>
      <c r="N709" s="606">
        <f t="shared" si="764"/>
        <v>64.972000000000008</v>
      </c>
      <c r="O709" s="606">
        <f t="shared" si="764"/>
        <v>67.975999999999999</v>
      </c>
      <c r="P709" s="607">
        <f t="shared" si="764"/>
        <v>231.93100000000001</v>
      </c>
      <c r="Q709" s="606">
        <f t="shared" si="764"/>
        <v>77.111999999999995</v>
      </c>
      <c r="R709" s="606">
        <f t="shared" si="764"/>
        <v>91.38900000000001</v>
      </c>
      <c r="S709" s="606">
        <f t="shared" si="764"/>
        <v>110.36600000000001</v>
      </c>
      <c r="T709" s="606">
        <f t="shared" si="764"/>
        <v>143.72299999999996</v>
      </c>
      <c r="U709" s="607">
        <f t="shared" si="764"/>
        <v>422.59</v>
      </c>
      <c r="V709" s="606">
        <f t="shared" si="764"/>
        <v>156.46</v>
      </c>
      <c r="W709" s="606">
        <f t="shared" si="764"/>
        <v>183.232</v>
      </c>
      <c r="X709" s="606">
        <f t="shared" si="764"/>
        <v>280.46799999999996</v>
      </c>
      <c r="Y709" s="606">
        <f t="shared" si="764"/>
        <v>326.93900000000008</v>
      </c>
      <c r="Z709" s="607">
        <f t="shared" si="764"/>
        <v>947.09900000000005</v>
      </c>
      <c r="AA709" s="606">
        <f t="shared" si="764"/>
        <v>376.60199999999998</v>
      </c>
      <c r="AB709" s="606">
        <f t="shared" si="764"/>
        <v>389.17100000000005</v>
      </c>
      <c r="AC709" s="606">
        <f t="shared" si="764"/>
        <v>400.62399999999991</v>
      </c>
      <c r="AD709" s="606">
        <f t="shared" si="764"/>
        <v>469.60599999999999</v>
      </c>
      <c r="AE709" s="607">
        <f t="shared" si="764"/>
        <v>1636.0029999999999</v>
      </c>
      <c r="AF709" s="606">
        <f t="shared" si="764"/>
        <v>416.233</v>
      </c>
      <c r="AG709" s="606">
        <f t="shared" si="764"/>
        <v>485.25500000000005</v>
      </c>
      <c r="AH709" s="606">
        <f t="shared" si="764"/>
        <v>502.82500000000005</v>
      </c>
      <c r="AI709" s="606">
        <f t="shared" ref="AI709:BG709" si="765">AI394</f>
        <v>496.73699999999985</v>
      </c>
      <c r="AJ709" s="607">
        <f t="shared" si="765"/>
        <v>1901.05</v>
      </c>
      <c r="AK709" s="606">
        <f t="shared" si="765"/>
        <v>467.577</v>
      </c>
      <c r="AL709" s="606">
        <f t="shared" si="765"/>
        <v>578.57199999999989</v>
      </c>
      <c r="AM709" s="606">
        <f t="shared" si="765"/>
        <v>530.85100000000011</v>
      </c>
      <c r="AN709" s="606">
        <f t="shared" si="765"/>
        <v>577</v>
      </c>
      <c r="AO709" s="607">
        <f t="shared" si="765"/>
        <v>2154</v>
      </c>
      <c r="AP709" s="606">
        <f t="shared" si="765"/>
        <v>553</v>
      </c>
      <c r="AQ709" s="606">
        <f t="shared" si="765"/>
        <v>567</v>
      </c>
      <c r="AR709" s="606">
        <f t="shared" si="765"/>
        <v>584</v>
      </c>
      <c r="AS709" s="606">
        <f t="shared" si="765"/>
        <v>618</v>
      </c>
      <c r="AT709" s="607">
        <f t="shared" si="765"/>
        <v>2322</v>
      </c>
      <c r="AU709" s="606">
        <f t="shared" si="765"/>
        <v>621</v>
      </c>
      <c r="AV709" s="606">
        <f t="shared" si="765"/>
        <v>681</v>
      </c>
      <c r="AW709" s="746">
        <f t="shared" ref="AW709" si="766">AW394</f>
        <v>761</v>
      </c>
      <c r="AX709" s="606">
        <f t="shared" si="765"/>
        <v>851.07183561643842</v>
      </c>
      <c r="AY709" s="607">
        <f t="shared" si="765"/>
        <v>2914.0718356164384</v>
      </c>
      <c r="AZ709" s="606">
        <f t="shared" si="765"/>
        <v>850.88801575530113</v>
      </c>
      <c r="BA709" s="606">
        <f t="shared" si="765"/>
        <v>882.87120877667439</v>
      </c>
      <c r="BB709" s="606">
        <f t="shared" si="765"/>
        <v>914.23389988141503</v>
      </c>
      <c r="BC709" s="606">
        <f t="shared" si="765"/>
        <v>937.02588139631041</v>
      </c>
      <c r="BD709" s="607">
        <f t="shared" si="765"/>
        <v>3585.019005809701</v>
      </c>
      <c r="BE709" s="607">
        <f t="shared" si="765"/>
        <v>3812.5069591182682</v>
      </c>
      <c r="BF709" s="607">
        <f t="shared" si="765"/>
        <v>4151.5389264436089</v>
      </c>
      <c r="BG709" s="607">
        <f t="shared" si="765"/>
        <v>4438.7637023732323</v>
      </c>
      <c r="BH709" s="1034"/>
    </row>
    <row r="710" spans="1:60" s="112" customFormat="1" x14ac:dyDescent="0.25">
      <c r="A710" s="39" t="s">
        <v>565</v>
      </c>
      <c r="B710" s="507"/>
      <c r="C710" s="598">
        <f t="shared" ref="C710:AV710" si="767">-C435-C620</f>
        <v>11.884</v>
      </c>
      <c r="D710" s="598">
        <f t="shared" si="767"/>
        <v>40.203000000000003</v>
      </c>
      <c r="E710" s="598">
        <f t="shared" si="767"/>
        <v>184.226</v>
      </c>
      <c r="F710" s="598">
        <f t="shared" si="767"/>
        <v>239.22800000000001</v>
      </c>
      <c r="G710" s="599">
        <f t="shared" si="767"/>
        <v>57.726999999999997</v>
      </c>
      <c r="H710" s="599">
        <f t="shared" si="767"/>
        <v>40.515000000000008</v>
      </c>
      <c r="I710" s="599">
        <f t="shared" si="767"/>
        <v>76.547999999999988</v>
      </c>
      <c r="J710" s="599">
        <f t="shared" si="767"/>
        <v>89.433999999999997</v>
      </c>
      <c r="K710" s="598">
        <f t="shared" si="767"/>
        <v>264.22399999999999</v>
      </c>
      <c r="L710" s="599">
        <f t="shared" si="767"/>
        <v>141.364</v>
      </c>
      <c r="M710" s="599">
        <f t="shared" si="767"/>
        <v>175.68499999999997</v>
      </c>
      <c r="N710" s="599">
        <f t="shared" si="767"/>
        <v>284.17500000000007</v>
      </c>
      <c r="O710" s="599">
        <f t="shared" si="767"/>
        <v>368.66099999999994</v>
      </c>
      <c r="P710" s="598">
        <f t="shared" si="767"/>
        <v>969.88499999999999</v>
      </c>
      <c r="Q710" s="599">
        <f t="shared" si="767"/>
        <v>426.06</v>
      </c>
      <c r="R710" s="599">
        <f t="shared" si="767"/>
        <v>405.16500000000002</v>
      </c>
      <c r="S710" s="599">
        <f t="shared" si="767"/>
        <v>392.40299999999991</v>
      </c>
      <c r="T710" s="599">
        <f t="shared" si="767"/>
        <v>411.22199999999998</v>
      </c>
      <c r="U710" s="598">
        <f t="shared" si="767"/>
        <v>1634.85</v>
      </c>
      <c r="V710" s="599">
        <f t="shared" si="767"/>
        <v>216.85900000000001</v>
      </c>
      <c r="W710" s="600">
        <f t="shared" si="767"/>
        <v>294.72000000000003</v>
      </c>
      <c r="X710" s="600">
        <f t="shared" si="767"/>
        <v>247.61100000000005</v>
      </c>
      <c r="Y710" s="599">
        <f t="shared" si="767"/>
        <v>840.94999999999982</v>
      </c>
      <c r="Z710" s="598">
        <f t="shared" si="767"/>
        <v>1600.14</v>
      </c>
      <c r="AA710" s="599">
        <f t="shared" si="767"/>
        <v>992.52</v>
      </c>
      <c r="AB710" s="600">
        <f t="shared" si="767"/>
        <v>1356.7560000000001</v>
      </c>
      <c r="AC710" s="600">
        <f t="shared" si="767"/>
        <v>1373.0200000000004</v>
      </c>
      <c r="AD710" s="599">
        <f t="shared" si="767"/>
        <v>1025.5979999999995</v>
      </c>
      <c r="AE710" s="598">
        <f t="shared" si="767"/>
        <v>4747.8940000000002</v>
      </c>
      <c r="AF710" s="599">
        <f t="shared" si="767"/>
        <v>801.61200000000008</v>
      </c>
      <c r="AG710" s="600">
        <f t="shared" si="767"/>
        <v>744.61299999999983</v>
      </c>
      <c r="AH710" s="600">
        <f t="shared" si="767"/>
        <v>609.25900000000024</v>
      </c>
      <c r="AI710" s="599">
        <f t="shared" si="767"/>
        <v>382.82400000000007</v>
      </c>
      <c r="AJ710" s="598">
        <f t="shared" si="767"/>
        <v>2538.308</v>
      </c>
      <c r="AK710" s="599">
        <f t="shared" si="767"/>
        <v>330.45400000000006</v>
      </c>
      <c r="AL710" s="600">
        <f t="shared" si="767"/>
        <v>291.40400000000005</v>
      </c>
      <c r="AM710" s="600">
        <f t="shared" si="767"/>
        <v>434.14199999999994</v>
      </c>
      <c r="AN710" s="599">
        <f t="shared" si="767"/>
        <v>486</v>
      </c>
      <c r="AO710" s="598">
        <f t="shared" si="767"/>
        <v>1542</v>
      </c>
      <c r="AP710" s="599">
        <f t="shared" si="767"/>
        <v>507</v>
      </c>
      <c r="AQ710" s="600">
        <f t="shared" si="767"/>
        <v>586</v>
      </c>
      <c r="AR710" s="600">
        <f t="shared" si="767"/>
        <v>1042</v>
      </c>
      <c r="AS710" s="599">
        <f t="shared" si="767"/>
        <v>1182</v>
      </c>
      <c r="AT710" s="598">
        <f t="shared" si="767"/>
        <v>3317</v>
      </c>
      <c r="AU710" s="599">
        <f t="shared" si="767"/>
        <v>1372</v>
      </c>
      <c r="AV710" s="600">
        <f t="shared" si="767"/>
        <v>1525</v>
      </c>
      <c r="AW710" s="811">
        <f t="shared" ref="AW710" si="768">-AW435-AW620</f>
        <v>1831</v>
      </c>
      <c r="AX710" s="606">
        <f t="shared" ref="AX710:BG710" si="769">-AX435+AX620</f>
        <v>1183</v>
      </c>
      <c r="AY710" s="607">
        <f t="shared" si="769"/>
        <v>5855</v>
      </c>
      <c r="AZ710" s="606">
        <f t="shared" si="769"/>
        <v>1483</v>
      </c>
      <c r="BA710" s="606">
        <f t="shared" si="769"/>
        <v>1483</v>
      </c>
      <c r="BB710" s="606">
        <f t="shared" si="769"/>
        <v>1483</v>
      </c>
      <c r="BC710" s="606">
        <f t="shared" si="769"/>
        <v>1483</v>
      </c>
      <c r="BD710" s="607">
        <f t="shared" si="769"/>
        <v>5932</v>
      </c>
      <c r="BE710" s="607">
        <f t="shared" si="769"/>
        <v>5932</v>
      </c>
      <c r="BF710" s="607">
        <f t="shared" si="769"/>
        <v>5932</v>
      </c>
      <c r="BG710" s="607">
        <f t="shared" si="769"/>
        <v>5932</v>
      </c>
      <c r="BH710" s="1034"/>
    </row>
    <row r="711" spans="1:60" s="112" customFormat="1" x14ac:dyDescent="0.25">
      <c r="A711" s="601" t="s">
        <v>566</v>
      </c>
      <c r="B711" s="670"/>
      <c r="C711" s="250"/>
      <c r="D711" s="602">
        <f t="shared" ref="D711:AR711" si="770">IFERROR(D700/D710,"n/a")</f>
        <v>0</v>
      </c>
      <c r="E711" s="602">
        <f t="shared" si="770"/>
        <v>0</v>
      </c>
      <c r="F711" s="602">
        <f t="shared" si="770"/>
        <v>0</v>
      </c>
      <c r="G711" s="603">
        <f t="shared" si="770"/>
        <v>0</v>
      </c>
      <c r="H711" s="603">
        <f t="shared" si="770"/>
        <v>0</v>
      </c>
      <c r="I711" s="603">
        <f t="shared" si="770"/>
        <v>0</v>
      </c>
      <c r="J711" s="603">
        <f t="shared" si="770"/>
        <v>0</v>
      </c>
      <c r="K711" s="602">
        <f t="shared" si="770"/>
        <v>0</v>
      </c>
      <c r="L711" s="603">
        <f t="shared" si="770"/>
        <v>0</v>
      </c>
      <c r="M711" s="603">
        <f t="shared" si="770"/>
        <v>0</v>
      </c>
      <c r="N711" s="603">
        <f t="shared" si="770"/>
        <v>0</v>
      </c>
      <c r="O711" s="603">
        <f t="shared" si="770"/>
        <v>0</v>
      </c>
      <c r="P711" s="602">
        <f t="shared" si="770"/>
        <v>0</v>
      </c>
      <c r="Q711" s="603">
        <f t="shared" si="770"/>
        <v>0</v>
      </c>
      <c r="R711" s="603">
        <f t="shared" si="770"/>
        <v>0</v>
      </c>
      <c r="S711" s="603">
        <f t="shared" si="770"/>
        <v>0</v>
      </c>
      <c r="T711" s="603">
        <f t="shared" si="770"/>
        <v>0</v>
      </c>
      <c r="U711" s="602">
        <f t="shared" si="770"/>
        <v>0</v>
      </c>
      <c r="V711" s="603">
        <f t="shared" si="770"/>
        <v>0</v>
      </c>
      <c r="W711" s="604">
        <f t="shared" si="770"/>
        <v>0</v>
      </c>
      <c r="X711" s="604">
        <f t="shared" si="770"/>
        <v>0</v>
      </c>
      <c r="Y711" s="603">
        <f t="shared" si="770"/>
        <v>0</v>
      </c>
      <c r="Z711" s="602">
        <f t="shared" si="770"/>
        <v>0</v>
      </c>
      <c r="AA711" s="603">
        <f t="shared" si="770"/>
        <v>0</v>
      </c>
      <c r="AB711" s="604">
        <f t="shared" si="770"/>
        <v>0</v>
      </c>
      <c r="AC711" s="604">
        <f t="shared" si="770"/>
        <v>0</v>
      </c>
      <c r="AD711" s="603">
        <f t="shared" si="770"/>
        <v>0</v>
      </c>
      <c r="AE711" s="602">
        <f t="shared" si="770"/>
        <v>0</v>
      </c>
      <c r="AF711" s="603">
        <f t="shared" si="770"/>
        <v>0</v>
      </c>
      <c r="AG711" s="604">
        <f t="shared" si="770"/>
        <v>0</v>
      </c>
      <c r="AH711" s="604">
        <f t="shared" si="770"/>
        <v>0</v>
      </c>
      <c r="AI711" s="603">
        <f t="shared" si="770"/>
        <v>0</v>
      </c>
      <c r="AJ711" s="602">
        <f t="shared" si="770"/>
        <v>0</v>
      </c>
      <c r="AK711" s="603">
        <f t="shared" si="770"/>
        <v>0</v>
      </c>
      <c r="AL711" s="604">
        <f t="shared" si="770"/>
        <v>1.830105283386638E-2</v>
      </c>
      <c r="AM711" s="604">
        <f t="shared" si="770"/>
        <v>-7.6703014221153501E-4</v>
      </c>
      <c r="AN711" s="603">
        <f t="shared" si="770"/>
        <v>0</v>
      </c>
      <c r="AO711" s="602">
        <f t="shared" si="770"/>
        <v>3.2425421530479898E-3</v>
      </c>
      <c r="AP711" s="603">
        <f t="shared" si="770"/>
        <v>0</v>
      </c>
      <c r="AQ711" s="604">
        <f t="shared" si="770"/>
        <v>0</v>
      </c>
      <c r="AR711" s="604">
        <f t="shared" si="770"/>
        <v>4.7984644913627635E-3</v>
      </c>
      <c r="AS711" s="603">
        <f>IFERROR(AS700/AS710,"n/a")</f>
        <v>4.2301184433164128E-3</v>
      </c>
      <c r="AT711" s="602">
        <f>IFERROR(AT700/AT710,"n/a")</f>
        <v>3.0147723846849564E-3</v>
      </c>
      <c r="AU711" s="603">
        <f t="shared" ref="AU711" si="771">IFERROR(AU700/AU710,"n/a")</f>
        <v>0</v>
      </c>
      <c r="AV711" s="604">
        <f>IFERROR(AV700/AV710,"n/a")</f>
        <v>0</v>
      </c>
      <c r="AW711" s="812">
        <f t="shared" ref="AW711" si="772">IFERROR(AW700/AW710,"n/a")</f>
        <v>0</v>
      </c>
      <c r="AX711" s="605">
        <v>0</v>
      </c>
      <c r="AY711" s="250">
        <f>AVERAGE(AU711,AV711,AW711,AX711)</f>
        <v>0</v>
      </c>
      <c r="AZ711" s="605">
        <v>0</v>
      </c>
      <c r="BA711" s="605">
        <v>0</v>
      </c>
      <c r="BB711" s="605">
        <v>0</v>
      </c>
      <c r="BC711" s="605">
        <v>0</v>
      </c>
      <c r="BD711" s="250">
        <f>AVERAGE(AZ711,BA711,BB711,BC711)</f>
        <v>0</v>
      </c>
      <c r="BE711" s="1019">
        <v>0</v>
      </c>
      <c r="BF711" s="1019">
        <v>0</v>
      </c>
      <c r="BG711" s="1019">
        <v>0</v>
      </c>
      <c r="BH711" s="1034"/>
    </row>
    <row r="712" spans="1:60" s="112" customFormat="1" x14ac:dyDescent="0.25">
      <c r="A712" s="217"/>
      <c r="B712" s="214"/>
      <c r="C712" s="559"/>
      <c r="D712" s="559"/>
      <c r="E712" s="559"/>
      <c r="F712" s="559"/>
      <c r="G712" s="558"/>
      <c r="H712" s="558"/>
      <c r="I712" s="558"/>
      <c r="J712" s="558"/>
      <c r="K712" s="559"/>
      <c r="L712" s="558"/>
      <c r="M712" s="558"/>
      <c r="N712" s="558"/>
      <c r="O712" s="558"/>
      <c r="P712" s="559"/>
      <c r="Q712" s="558"/>
      <c r="R712" s="558"/>
      <c r="S712" s="558"/>
      <c r="T712" s="558"/>
      <c r="U712" s="559"/>
      <c r="V712" s="558"/>
      <c r="W712" s="558"/>
      <c r="X712" s="558"/>
      <c r="Y712" s="558"/>
      <c r="Z712" s="559"/>
      <c r="AA712" s="558"/>
      <c r="AB712" s="558"/>
      <c r="AC712" s="558"/>
      <c r="AD712" s="558"/>
      <c r="AE712" s="559"/>
      <c r="AF712" s="558"/>
      <c r="AG712" s="558"/>
      <c r="AH712" s="558"/>
      <c r="AI712" s="558"/>
      <c r="AJ712" s="559"/>
      <c r="AK712" s="558"/>
      <c r="AL712" s="558"/>
      <c r="AM712" s="558"/>
      <c r="AN712" s="558"/>
      <c r="AO712" s="559"/>
      <c r="AP712" s="558"/>
      <c r="AQ712" s="558"/>
      <c r="AR712" s="558"/>
      <c r="AS712" s="558"/>
      <c r="AT712" s="559"/>
      <c r="AU712" s="558"/>
      <c r="AV712" s="558"/>
      <c r="AW712" s="740"/>
      <c r="AX712" s="558"/>
      <c r="AY712" s="559"/>
      <c r="AZ712" s="558"/>
      <c r="BA712" s="558"/>
      <c r="BB712" s="558"/>
      <c r="BC712" s="558"/>
      <c r="BD712" s="559"/>
      <c r="BE712" s="559"/>
      <c r="BF712" s="559"/>
      <c r="BG712" s="559"/>
      <c r="BH712" s="1034"/>
    </row>
    <row r="713" spans="1:60" s="112" customFormat="1" x14ac:dyDescent="0.25">
      <c r="A713" s="1020" t="s">
        <v>254</v>
      </c>
      <c r="B713" s="1020"/>
      <c r="C713" s="1043"/>
      <c r="D713" s="1043"/>
      <c r="E713" s="1043"/>
      <c r="F713" s="1043"/>
      <c r="G713" s="1043"/>
      <c r="H713" s="1043"/>
      <c r="I713" s="1043"/>
      <c r="J713" s="1043"/>
      <c r="K713" s="1043"/>
      <c r="L713" s="1043"/>
      <c r="M713" s="1043"/>
      <c r="N713" s="1043"/>
      <c r="O713" s="1043"/>
      <c r="P713" s="1043"/>
      <c r="Q713" s="1043"/>
      <c r="R713" s="1043"/>
      <c r="S713" s="1043"/>
      <c r="T713" s="1043"/>
      <c r="U713" s="1043"/>
      <c r="V713" s="1043"/>
      <c r="W713" s="1043"/>
      <c r="X713" s="1043"/>
      <c r="Y713" s="1043"/>
      <c r="Z713" s="1043"/>
      <c r="AA713" s="1043"/>
      <c r="AB713" s="1043"/>
      <c r="AC713" s="1043"/>
      <c r="AD713" s="1043"/>
      <c r="AE713" s="1043"/>
      <c r="AF713" s="1043"/>
      <c r="AG713" s="1043"/>
      <c r="AH713" s="1043"/>
      <c r="AI713" s="1043"/>
      <c r="AJ713" s="1043"/>
      <c r="AK713" s="1043"/>
      <c r="AL713" s="1043"/>
      <c r="AM713" s="1043"/>
      <c r="AN713" s="1043"/>
      <c r="AO713" s="1043"/>
      <c r="AP713" s="1043"/>
      <c r="AQ713" s="1043"/>
      <c r="AR713" s="1043"/>
      <c r="AS713" s="1043"/>
      <c r="AT713" s="1043"/>
      <c r="AU713" s="1043"/>
      <c r="AV713" s="1043"/>
      <c r="AW713" s="1044"/>
      <c r="AX713" s="1043"/>
      <c r="AY713" s="1043"/>
      <c r="AZ713" s="1043"/>
      <c r="BA713" s="1043"/>
      <c r="BB713" s="1043"/>
      <c r="BC713" s="1043"/>
      <c r="BD713" s="1043"/>
      <c r="BE713" s="1043"/>
      <c r="BF713" s="1043"/>
      <c r="BG713" s="1043"/>
      <c r="BH713" s="1034"/>
    </row>
    <row r="714" spans="1:60" s="112" customFormat="1" x14ac:dyDescent="0.25">
      <c r="A714" s="39" t="s">
        <v>255</v>
      </c>
      <c r="B714" s="507"/>
      <c r="C714" s="1045"/>
      <c r="D714" s="1045"/>
      <c r="E714" s="1045"/>
      <c r="F714" s="1045"/>
      <c r="G714" s="1046"/>
      <c r="H714" s="1046"/>
      <c r="I714" s="1046"/>
      <c r="J714" s="1046"/>
      <c r="K714" s="1045"/>
      <c r="L714" s="1046"/>
      <c r="M714" s="1046"/>
      <c r="N714" s="1046"/>
      <c r="O714" s="1046"/>
      <c r="P714" s="1045"/>
      <c r="Q714" s="1046"/>
      <c r="R714" s="1046"/>
      <c r="S714" s="1046"/>
      <c r="T714" s="1046"/>
      <c r="U714" s="1045"/>
      <c r="V714" s="1046"/>
      <c r="W714" s="1046"/>
      <c r="X714" s="1046"/>
      <c r="Y714" s="1046"/>
      <c r="Z714" s="1045"/>
      <c r="AA714" s="1046"/>
      <c r="AB714" s="1046"/>
      <c r="AC714" s="1046"/>
      <c r="AD714" s="1046"/>
      <c r="AE714" s="1045"/>
      <c r="AF714" s="1046"/>
      <c r="AG714" s="1046"/>
      <c r="AH714" s="1046"/>
      <c r="AI714" s="1046"/>
      <c r="AJ714" s="1045"/>
      <c r="AK714" s="1046"/>
      <c r="AL714" s="1046"/>
      <c r="AM714" s="1046"/>
      <c r="AN714" s="1046"/>
      <c r="AO714" s="1045"/>
      <c r="AP714" s="1046"/>
      <c r="AQ714" s="1046"/>
      <c r="AR714" s="1046"/>
      <c r="AS714" s="1046"/>
      <c r="AT714" s="1045"/>
      <c r="AU714" s="1046"/>
      <c r="AV714" s="1046"/>
      <c r="AW714" s="1047"/>
      <c r="AX714" s="1046"/>
      <c r="AY714" s="1045"/>
      <c r="AZ714" s="1046"/>
      <c r="BA714" s="1046"/>
      <c r="BB714" s="1046"/>
      <c r="BC714" s="1046"/>
      <c r="BD714" s="1045"/>
      <c r="BE714" s="1045"/>
      <c r="BF714" s="1045"/>
      <c r="BG714" s="1045"/>
      <c r="BH714" s="1034"/>
    </row>
    <row r="715" spans="1:60" s="356" customFormat="1" x14ac:dyDescent="0.25">
      <c r="A715" s="526" t="s">
        <v>256</v>
      </c>
      <c r="B715" s="450"/>
      <c r="C715" s="440">
        <v>69.626999999999995</v>
      </c>
      <c r="D715" s="440">
        <v>99.558000000000007</v>
      </c>
      <c r="E715" s="440">
        <v>255.26599999999999</v>
      </c>
      <c r="F715" s="440">
        <v>201.89</v>
      </c>
      <c r="G715" s="439">
        <v>214.417</v>
      </c>
      <c r="H715" s="439">
        <v>746.05700000000002</v>
      </c>
      <c r="I715" s="439">
        <v>795.11599999999999</v>
      </c>
      <c r="J715" s="439">
        <f t="shared" ref="J715:J724" si="773">K715</f>
        <v>845.88900000000001</v>
      </c>
      <c r="K715" s="440">
        <v>845.88900000000001</v>
      </c>
      <c r="L715" s="439">
        <v>2393.9079999999999</v>
      </c>
      <c r="M715" s="439">
        <v>2674.91</v>
      </c>
      <c r="N715" s="439">
        <v>2370.7350000000001</v>
      </c>
      <c r="O715" s="439">
        <f t="shared" ref="O715:O724" si="774">P715</f>
        <v>1905.713</v>
      </c>
      <c r="P715" s="440">
        <v>1905.713</v>
      </c>
      <c r="Q715" s="439">
        <v>1510.076</v>
      </c>
      <c r="R715" s="439">
        <v>1150.673</v>
      </c>
      <c r="S715" s="439">
        <v>1426.0360000000001</v>
      </c>
      <c r="T715" s="439">
        <f t="shared" ref="T715:T724" si="775">U715</f>
        <v>1196.9079999999999</v>
      </c>
      <c r="U715" s="440">
        <v>1196.9079999999999</v>
      </c>
      <c r="V715" s="439">
        <v>1441.789</v>
      </c>
      <c r="W715" s="439">
        <v>3246.3009999999999</v>
      </c>
      <c r="X715" s="439">
        <v>3084.2570000000001</v>
      </c>
      <c r="Y715" s="439">
        <f t="shared" ref="Y715:Y724" si="776">Z715</f>
        <v>3393.2159999999999</v>
      </c>
      <c r="Z715" s="440">
        <v>3393.2159999999999</v>
      </c>
      <c r="AA715" s="439">
        <v>4006.5929999999998</v>
      </c>
      <c r="AB715" s="439">
        <v>3035.924</v>
      </c>
      <c r="AC715" s="439">
        <v>3530.03</v>
      </c>
      <c r="AD715" s="439">
        <f t="shared" ref="AD715:AD724" si="777">AE715</f>
        <v>3367.9140000000002</v>
      </c>
      <c r="AE715" s="440">
        <v>3367.9140000000002</v>
      </c>
      <c r="AF715" s="439">
        <v>2665.6729999999998</v>
      </c>
      <c r="AG715" s="439">
        <v>2236.424</v>
      </c>
      <c r="AH715" s="439">
        <v>2967.5039999999999</v>
      </c>
      <c r="AI715" s="439">
        <f t="shared" ref="AI715:AI724" si="778">AJ715</f>
        <v>3685.6179999999999</v>
      </c>
      <c r="AJ715" s="440">
        <v>3685.6179999999999</v>
      </c>
      <c r="AK715" s="439">
        <v>2198.1689999999999</v>
      </c>
      <c r="AL715" s="439">
        <v>4954.74</v>
      </c>
      <c r="AM715" s="439">
        <v>5338</v>
      </c>
      <c r="AN715" s="439">
        <f t="shared" ref="AN715:AN724" si="779">AO715</f>
        <v>6268</v>
      </c>
      <c r="AO715" s="440">
        <v>6268</v>
      </c>
      <c r="AP715" s="439">
        <v>8080</v>
      </c>
      <c r="AQ715" s="439">
        <v>8615</v>
      </c>
      <c r="AR715" s="439">
        <v>14531</v>
      </c>
      <c r="AS715" s="439">
        <f t="shared" ref="AS715:AS724" si="780">AT715</f>
        <v>19384</v>
      </c>
      <c r="AT715" s="440">
        <v>19384</v>
      </c>
      <c r="AU715" s="439">
        <v>17141</v>
      </c>
      <c r="AV715" s="439">
        <v>16229</v>
      </c>
      <c r="AW715" s="726">
        <v>16065</v>
      </c>
      <c r="AX715" s="439">
        <f ca="1">AW715+AX664</f>
        <v>17225.070557489635</v>
      </c>
      <c r="AY715" s="440">
        <f ca="1">AX715</f>
        <v>17225.070557489635</v>
      </c>
      <c r="AZ715" s="439">
        <f ca="1">AY715+AZ664</f>
        <v>19538.031639973015</v>
      </c>
      <c r="BA715" s="439">
        <f ca="1">AZ715+BA664</f>
        <v>22390.861954298995</v>
      </c>
      <c r="BB715" s="439">
        <f ca="1">BA715+BB664</f>
        <v>28054.823911835505</v>
      </c>
      <c r="BC715" s="439">
        <f ca="1">BB715+BC664</f>
        <v>30878.219126236723</v>
      </c>
      <c r="BD715" s="440">
        <f ca="1">BC715</f>
        <v>30878.219126236723</v>
      </c>
      <c r="BE715" s="440">
        <f ca="1">BD715+BE664</f>
        <v>43268.518503970656</v>
      </c>
      <c r="BF715" s="440">
        <f ca="1">BE715+BF664</f>
        <v>59847.834588945974</v>
      </c>
      <c r="BG715" s="440">
        <f ca="1">BF715+BG664</f>
        <v>81339.80515424606</v>
      </c>
      <c r="BH715" s="361"/>
    </row>
    <row r="716" spans="1:60" s="356" customFormat="1" x14ac:dyDescent="0.25">
      <c r="A716" s="526" t="s">
        <v>257</v>
      </c>
      <c r="B716" s="450"/>
      <c r="C716" s="440"/>
      <c r="D716" s="440"/>
      <c r="E716" s="440">
        <v>25.061</v>
      </c>
      <c r="F716" s="440"/>
      <c r="G716" s="439"/>
      <c r="H716" s="439"/>
      <c r="I716" s="439"/>
      <c r="J716" s="439">
        <f t="shared" si="773"/>
        <v>0</v>
      </c>
      <c r="K716" s="440"/>
      <c r="L716" s="439">
        <v>189.11099999999999</v>
      </c>
      <c r="M716" s="439"/>
      <c r="N716" s="439"/>
      <c r="O716" s="439">
        <f t="shared" si="774"/>
        <v>0</v>
      </c>
      <c r="P716" s="440"/>
      <c r="Q716" s="439"/>
      <c r="R716" s="439"/>
      <c r="S716" s="439"/>
      <c r="T716" s="439">
        <f t="shared" si="775"/>
        <v>0</v>
      </c>
      <c r="U716" s="440"/>
      <c r="V716" s="439"/>
      <c r="W716" s="439"/>
      <c r="X716" s="439"/>
      <c r="Y716" s="439">
        <f t="shared" si="776"/>
        <v>0</v>
      </c>
      <c r="Z716" s="440">
        <v>0</v>
      </c>
      <c r="AA716" s="439"/>
      <c r="AB716" s="439"/>
      <c r="AC716" s="439"/>
      <c r="AD716" s="439">
        <f t="shared" si="777"/>
        <v>0</v>
      </c>
      <c r="AE716" s="440">
        <v>0</v>
      </c>
      <c r="AF716" s="439"/>
      <c r="AG716" s="439"/>
      <c r="AH716" s="439"/>
      <c r="AI716" s="439">
        <f t="shared" si="778"/>
        <v>0</v>
      </c>
      <c r="AJ716" s="440"/>
      <c r="AK716" s="439"/>
      <c r="AL716" s="439"/>
      <c r="AM716" s="439"/>
      <c r="AN716" s="439">
        <f t="shared" si="779"/>
        <v>0</v>
      </c>
      <c r="AO716" s="440"/>
      <c r="AP716" s="439"/>
      <c r="AQ716" s="439"/>
      <c r="AR716" s="439"/>
      <c r="AS716" s="439">
        <f t="shared" si="780"/>
        <v>0</v>
      </c>
      <c r="AT716" s="440"/>
      <c r="AU716" s="439"/>
      <c r="AV716" s="439"/>
      <c r="AW716" s="726">
        <v>30</v>
      </c>
      <c r="AX716" s="439">
        <f>AW716</f>
        <v>30</v>
      </c>
      <c r="AY716" s="440">
        <f>AX716</f>
        <v>30</v>
      </c>
      <c r="AZ716" s="439">
        <f t="shared" ref="AZ716:BC717" si="781">AY716</f>
        <v>30</v>
      </c>
      <c r="BA716" s="439">
        <f t="shared" si="781"/>
        <v>30</v>
      </c>
      <c r="BB716" s="439">
        <f t="shared" si="781"/>
        <v>30</v>
      </c>
      <c r="BC716" s="439">
        <f t="shared" si="781"/>
        <v>30</v>
      </c>
      <c r="BD716" s="440">
        <f>BC716</f>
        <v>30</v>
      </c>
      <c r="BE716" s="440">
        <f t="shared" ref="BE716:BG717" si="782">BD716</f>
        <v>30</v>
      </c>
      <c r="BF716" s="440">
        <f t="shared" si="782"/>
        <v>30</v>
      </c>
      <c r="BG716" s="440">
        <f t="shared" si="782"/>
        <v>30</v>
      </c>
      <c r="BH716" s="361"/>
    </row>
    <row r="717" spans="1:60" s="356" customFormat="1" x14ac:dyDescent="0.25">
      <c r="A717" s="526" t="s">
        <v>258</v>
      </c>
      <c r="B717" s="450"/>
      <c r="C717" s="440"/>
      <c r="D717" s="440">
        <v>73.596999999999994</v>
      </c>
      <c r="E717" s="440">
        <v>23.475999999999999</v>
      </c>
      <c r="F717" s="440">
        <v>19.094000000000001</v>
      </c>
      <c r="G717" s="439">
        <v>16.719000000000001</v>
      </c>
      <c r="H717" s="439">
        <v>1.3620000000000001</v>
      </c>
      <c r="I717" s="439">
        <v>1.2649999999999999</v>
      </c>
      <c r="J717" s="439">
        <f t="shared" si="773"/>
        <v>3.012</v>
      </c>
      <c r="K717" s="440">
        <v>3.012</v>
      </c>
      <c r="L717" s="439">
        <v>1.0489999999999999</v>
      </c>
      <c r="M717" s="439">
        <v>11.714</v>
      </c>
      <c r="N717" s="439">
        <v>17.331</v>
      </c>
      <c r="O717" s="439">
        <f t="shared" si="774"/>
        <v>17.946999999999999</v>
      </c>
      <c r="P717" s="440">
        <v>17.946999999999999</v>
      </c>
      <c r="Q717" s="439">
        <v>20.693000000000001</v>
      </c>
      <c r="R717" s="439">
        <v>20.591000000000001</v>
      </c>
      <c r="S717" s="439">
        <v>25.222999999999999</v>
      </c>
      <c r="T717" s="439">
        <f t="shared" si="775"/>
        <v>22.628</v>
      </c>
      <c r="U717" s="440">
        <v>22.628</v>
      </c>
      <c r="V717" s="439">
        <v>23.98</v>
      </c>
      <c r="W717" s="439">
        <v>24.524999999999999</v>
      </c>
      <c r="X717" s="439">
        <v>23.710999999999999</v>
      </c>
      <c r="Y717" s="439">
        <f t="shared" si="776"/>
        <v>105.51900000000001</v>
      </c>
      <c r="Z717" s="440">
        <v>105.51900000000001</v>
      </c>
      <c r="AA717" s="439">
        <v>88.945999999999998</v>
      </c>
      <c r="AB717" s="439">
        <v>118.369</v>
      </c>
      <c r="AC717" s="439">
        <v>138.18100000000001</v>
      </c>
      <c r="AD717" s="439">
        <f t="shared" si="777"/>
        <v>155.32300000000001</v>
      </c>
      <c r="AE717" s="440">
        <v>155.32300000000001</v>
      </c>
      <c r="AF717" s="439">
        <v>120.194</v>
      </c>
      <c r="AG717" s="439">
        <v>146.822</v>
      </c>
      <c r="AH717" s="439">
        <v>158.62700000000001</v>
      </c>
      <c r="AI717" s="439">
        <f t="shared" si="778"/>
        <v>192.55099999999999</v>
      </c>
      <c r="AJ717" s="440">
        <v>192.55099999999999</v>
      </c>
      <c r="AK717" s="439">
        <v>130.94999999999999</v>
      </c>
      <c r="AL717" s="439">
        <v>128.006</v>
      </c>
      <c r="AM717" s="439">
        <v>233</v>
      </c>
      <c r="AN717" s="439">
        <f t="shared" si="779"/>
        <v>246</v>
      </c>
      <c r="AO717" s="440">
        <v>246</v>
      </c>
      <c r="AP717" s="439">
        <v>193</v>
      </c>
      <c r="AQ717" s="439">
        <v>203</v>
      </c>
      <c r="AR717" s="439">
        <v>174</v>
      </c>
      <c r="AS717" s="439">
        <f t="shared" si="780"/>
        <v>238</v>
      </c>
      <c r="AT717" s="440">
        <v>238</v>
      </c>
      <c r="AU717" s="439">
        <v>305</v>
      </c>
      <c r="AV717" s="439">
        <v>326</v>
      </c>
      <c r="AW717" s="726">
        <v>327</v>
      </c>
      <c r="AX717" s="439">
        <f>AW717</f>
        <v>327</v>
      </c>
      <c r="AY717" s="440">
        <f>AX717</f>
        <v>327</v>
      </c>
      <c r="AZ717" s="439">
        <f t="shared" si="781"/>
        <v>327</v>
      </c>
      <c r="BA717" s="439">
        <f t="shared" si="781"/>
        <v>327</v>
      </c>
      <c r="BB717" s="439">
        <f t="shared" si="781"/>
        <v>327</v>
      </c>
      <c r="BC717" s="439">
        <f t="shared" si="781"/>
        <v>327</v>
      </c>
      <c r="BD717" s="440">
        <f>BC717</f>
        <v>327</v>
      </c>
      <c r="BE717" s="440">
        <f t="shared" si="782"/>
        <v>327</v>
      </c>
      <c r="BF717" s="440">
        <f t="shared" si="782"/>
        <v>327</v>
      </c>
      <c r="BG717" s="440">
        <f t="shared" si="782"/>
        <v>327</v>
      </c>
      <c r="BH717" s="361"/>
    </row>
    <row r="718" spans="1:60" s="356" customFormat="1" x14ac:dyDescent="0.25">
      <c r="A718" s="526" t="s">
        <v>187</v>
      </c>
      <c r="B718" s="450"/>
      <c r="C718" s="440">
        <v>3.488</v>
      </c>
      <c r="D718" s="440">
        <v>6.71</v>
      </c>
      <c r="E718" s="440">
        <v>9.5389999999999997</v>
      </c>
      <c r="F718" s="440">
        <v>26.841999999999999</v>
      </c>
      <c r="G718" s="439">
        <v>46.139000000000003</v>
      </c>
      <c r="H718" s="439">
        <v>113.544</v>
      </c>
      <c r="I718" s="439">
        <v>47.58</v>
      </c>
      <c r="J718" s="439">
        <f t="shared" si="773"/>
        <v>49.109000000000002</v>
      </c>
      <c r="K718" s="440">
        <v>49.109000000000002</v>
      </c>
      <c r="L718" s="439">
        <v>72.38</v>
      </c>
      <c r="M718" s="439">
        <v>96.606999999999999</v>
      </c>
      <c r="N718" s="439">
        <v>156.88900000000001</v>
      </c>
      <c r="O718" s="439">
        <f t="shared" si="774"/>
        <v>226.60400000000001</v>
      </c>
      <c r="P718" s="440">
        <v>226.60400000000001</v>
      </c>
      <c r="Q718" s="439">
        <v>200.05199999999999</v>
      </c>
      <c r="R718" s="439">
        <v>138.648</v>
      </c>
      <c r="S718" s="439">
        <v>119.964</v>
      </c>
      <c r="T718" s="439">
        <f t="shared" si="775"/>
        <v>168.965</v>
      </c>
      <c r="U718" s="440">
        <v>168.965</v>
      </c>
      <c r="V718" s="439">
        <v>318.05599999999998</v>
      </c>
      <c r="W718" s="439">
        <v>178.59399999999999</v>
      </c>
      <c r="X718" s="439">
        <v>326.89499999999998</v>
      </c>
      <c r="Y718" s="439">
        <f t="shared" si="776"/>
        <v>499.142</v>
      </c>
      <c r="Z718" s="440">
        <v>499.142</v>
      </c>
      <c r="AA718" s="439">
        <v>440.34899999999999</v>
      </c>
      <c r="AB718" s="439">
        <v>453.53899999999999</v>
      </c>
      <c r="AC718" s="439">
        <v>607.73400000000004</v>
      </c>
      <c r="AD718" s="439">
        <f t="shared" si="777"/>
        <v>515.38099999999997</v>
      </c>
      <c r="AE718" s="440">
        <v>515.38099999999997</v>
      </c>
      <c r="AF718" s="439">
        <v>652.84799999999996</v>
      </c>
      <c r="AG718" s="439">
        <v>569.87400000000002</v>
      </c>
      <c r="AH718" s="439">
        <v>1155.001</v>
      </c>
      <c r="AI718" s="439">
        <f t="shared" si="778"/>
        <v>949.02200000000005</v>
      </c>
      <c r="AJ718" s="440">
        <v>949.02200000000005</v>
      </c>
      <c r="AK718" s="439">
        <v>1046.9449999999999</v>
      </c>
      <c r="AL718" s="439">
        <v>1147.0999999999999</v>
      </c>
      <c r="AM718" s="439">
        <v>1128</v>
      </c>
      <c r="AN718" s="439">
        <f t="shared" si="779"/>
        <v>1324</v>
      </c>
      <c r="AO718" s="440">
        <v>1324</v>
      </c>
      <c r="AP718" s="439">
        <v>1274</v>
      </c>
      <c r="AQ718" s="439">
        <v>1485</v>
      </c>
      <c r="AR718" s="439">
        <v>1757</v>
      </c>
      <c r="AS718" s="439">
        <f t="shared" si="780"/>
        <v>1886</v>
      </c>
      <c r="AT718" s="440">
        <v>1886</v>
      </c>
      <c r="AU718" s="439">
        <v>1890</v>
      </c>
      <c r="AV718" s="439">
        <v>2129</v>
      </c>
      <c r="AW718" s="726">
        <v>1962</v>
      </c>
      <c r="AX718" s="439">
        <f>(AX$381+AW$381+AV$381+AU$381)*AX675</f>
        <v>3169.8298456459438</v>
      </c>
      <c r="AY718" s="440">
        <f>AX718</f>
        <v>3169.8298456459438</v>
      </c>
      <c r="AZ718" s="439">
        <f>(AZ$381+AX$381+AW$381+AV$381)*AZ675</f>
        <v>3366.5488276244773</v>
      </c>
      <c r="BA718" s="439">
        <f>(BA$381+AZ$381+AX$381+AW$381)*BA675</f>
        <v>3930.5570752766071</v>
      </c>
      <c r="BB718" s="439">
        <f>(BB$381+BA$381+AZ$381+AX$381)*BB675</f>
        <v>3924.9820309566626</v>
      </c>
      <c r="BC718" s="439">
        <f>(BC$381+BB$381+BA$381+AZ$381)*BC675</f>
        <v>6633.5146675760689</v>
      </c>
      <c r="BD718" s="440">
        <f>BC718</f>
        <v>6633.5146675760689</v>
      </c>
      <c r="BE718" s="440">
        <f>BE381*BE675</f>
        <v>8178.5417449128627</v>
      </c>
      <c r="BF718" s="440">
        <f>BF381*BF675</f>
        <v>10022.056861519697</v>
      </c>
      <c r="BG718" s="440">
        <f>BG381*BG675</f>
        <v>12287.556034673335</v>
      </c>
      <c r="BH718" s="361"/>
    </row>
    <row r="719" spans="1:60" s="356" customFormat="1" hidden="1" outlineLevel="1" x14ac:dyDescent="0.25">
      <c r="A719" s="618" t="s">
        <v>665</v>
      </c>
      <c r="B719" s="450"/>
      <c r="C719" s="440">
        <v>10.000999999999999</v>
      </c>
      <c r="D719" s="440">
        <v>15.936</v>
      </c>
      <c r="E719" s="440">
        <v>12.095000000000001</v>
      </c>
      <c r="F719" s="440">
        <v>163.637</v>
      </c>
      <c r="G719" s="439">
        <v>115.96599999999999</v>
      </c>
      <c r="H719" s="439">
        <v>99.733999999999995</v>
      </c>
      <c r="I719" s="439">
        <v>164.346</v>
      </c>
      <c r="J719" s="439">
        <f t="shared" ref="J719" si="783">K719</f>
        <v>184.66499999999999</v>
      </c>
      <c r="K719" s="440">
        <v>184.66499999999999</v>
      </c>
      <c r="L719" s="439">
        <v>197.779</v>
      </c>
      <c r="M719" s="439">
        <v>235.279</v>
      </c>
      <c r="N719" s="439">
        <v>361.83699999999999</v>
      </c>
      <c r="O719" s="439">
        <f t="shared" ref="O719" si="784">P719</f>
        <v>392.29199999999997</v>
      </c>
      <c r="P719" s="440">
        <v>392.29199999999997</v>
      </c>
      <c r="Q719" s="439">
        <v>370.553</v>
      </c>
      <c r="R719" s="439">
        <v>395.17099999999999</v>
      </c>
      <c r="S719" s="439">
        <v>393.69099999999997</v>
      </c>
      <c r="T719" s="439">
        <f t="shared" ref="T719" si="785">U719</f>
        <v>528.93499999999995</v>
      </c>
      <c r="U719" s="440">
        <v>528.93499999999995</v>
      </c>
      <c r="V719" s="439">
        <v>507.529</v>
      </c>
      <c r="W719" s="439">
        <v>436.95299999999997</v>
      </c>
      <c r="X719" s="439">
        <v>353.75099999999998</v>
      </c>
      <c r="Y719" s="439">
        <f t="shared" ref="Y719" si="786">Z719</f>
        <v>680.33900000000006</v>
      </c>
      <c r="Z719" s="440">
        <v>680.33900000000006</v>
      </c>
      <c r="AA719" s="439">
        <v>693.49900000000002</v>
      </c>
      <c r="AB719" s="439">
        <v>558.10900000000004</v>
      </c>
      <c r="AC719" s="439">
        <v>612.22500000000002</v>
      </c>
      <c r="AD719" s="439">
        <f t="shared" ref="AD719" si="787">AE719</f>
        <v>821.39599999999996</v>
      </c>
      <c r="AE719" s="440">
        <v>821.39599999999996</v>
      </c>
      <c r="AF719" s="439">
        <v>902.19</v>
      </c>
      <c r="AG719" s="439">
        <v>972.73900000000003</v>
      </c>
      <c r="AH719" s="439">
        <v>997.476</v>
      </c>
      <c r="AI719" s="439">
        <f t="shared" ref="AI719" si="788">AJ719</f>
        <v>931.82799999999997</v>
      </c>
      <c r="AJ719" s="440">
        <v>931.82799999999997</v>
      </c>
      <c r="AK719" s="439">
        <v>1079.2159999999999</v>
      </c>
      <c r="AL719" s="439">
        <v>1095.8879999999999</v>
      </c>
      <c r="AM719" s="439">
        <v>1284</v>
      </c>
      <c r="AN719" s="439">
        <f t="shared" ref="AN719" si="789">AO719</f>
        <v>1428</v>
      </c>
      <c r="AO719" s="440">
        <v>1428</v>
      </c>
      <c r="AP719" s="439">
        <v>1653</v>
      </c>
      <c r="AQ719" s="439">
        <v>1842</v>
      </c>
      <c r="AR719" s="439">
        <v>1573</v>
      </c>
      <c r="AS719" s="439">
        <f t="shared" ref="AS719" si="790">AT719</f>
        <v>1508</v>
      </c>
      <c r="AT719" s="440">
        <v>1508</v>
      </c>
      <c r="AU719" s="439">
        <v>1836</v>
      </c>
      <c r="AV719" s="439">
        <v>2067</v>
      </c>
      <c r="AW719" s="726">
        <v>2355</v>
      </c>
      <c r="AX719" s="439"/>
      <c r="AY719" s="440"/>
      <c r="AZ719" s="439"/>
      <c r="BA719" s="439"/>
      <c r="BB719" s="439"/>
      <c r="BC719" s="439"/>
      <c r="BD719" s="440"/>
      <c r="BE719" s="440"/>
      <c r="BF719" s="440"/>
      <c r="BG719" s="440"/>
      <c r="BH719" s="361"/>
    </row>
    <row r="720" spans="1:60" s="356" customFormat="1" hidden="1" outlineLevel="1" x14ac:dyDescent="0.25">
      <c r="A720" s="618" t="s">
        <v>666</v>
      </c>
      <c r="B720" s="450"/>
      <c r="C720" s="440">
        <v>3.403</v>
      </c>
      <c r="D720" s="440">
        <v>4.5380000000000003</v>
      </c>
      <c r="E720" s="440">
        <v>3.665</v>
      </c>
      <c r="F720" s="440">
        <v>24.535</v>
      </c>
      <c r="G720" s="439">
        <v>41.698</v>
      </c>
      <c r="H720" s="439">
        <v>47.874000000000002</v>
      </c>
      <c r="I720" s="439">
        <v>38.607999999999997</v>
      </c>
      <c r="J720" s="439">
        <f t="shared" si="773"/>
        <v>42.5</v>
      </c>
      <c r="K720" s="440">
        <v>42.5</v>
      </c>
      <c r="L720" s="439">
        <v>64.430999999999997</v>
      </c>
      <c r="M720" s="439">
        <v>48.11</v>
      </c>
      <c r="N720" s="439">
        <v>74.980999999999995</v>
      </c>
      <c r="O720" s="439">
        <f t="shared" si="774"/>
        <v>56.113999999999997</v>
      </c>
      <c r="P720" s="440">
        <v>56.113999999999997</v>
      </c>
      <c r="Q720" s="439">
        <v>63.058</v>
      </c>
      <c r="R720" s="439">
        <v>99.116</v>
      </c>
      <c r="S720" s="439">
        <v>86.587000000000003</v>
      </c>
      <c r="T720" s="439">
        <f t="shared" si="775"/>
        <v>163.83000000000001</v>
      </c>
      <c r="U720" s="440">
        <v>163.83000000000001</v>
      </c>
      <c r="V720" s="439">
        <v>199.15700000000001</v>
      </c>
      <c r="W720" s="439">
        <v>289.30700000000002</v>
      </c>
      <c r="X720" s="439">
        <v>329.93799999999999</v>
      </c>
      <c r="Y720" s="439">
        <f t="shared" si="776"/>
        <v>233.74600000000001</v>
      </c>
      <c r="Z720" s="440">
        <v>233.74600000000001</v>
      </c>
      <c r="AA720" s="439">
        <v>254.684</v>
      </c>
      <c r="AB720" s="439">
        <v>266.32</v>
      </c>
      <c r="AC720" s="439">
        <v>277.15499999999997</v>
      </c>
      <c r="AD720" s="439">
        <f t="shared" si="777"/>
        <v>243.18100000000001</v>
      </c>
      <c r="AE720" s="440">
        <v>243.18100000000001</v>
      </c>
      <c r="AF720" s="439">
        <v>315.22699999999998</v>
      </c>
      <c r="AG720" s="439">
        <v>350.44299999999998</v>
      </c>
      <c r="AH720" s="439">
        <v>358.113</v>
      </c>
      <c r="AI720" s="439">
        <f t="shared" si="778"/>
        <v>296.99099999999999</v>
      </c>
      <c r="AJ720" s="440">
        <v>296.99099999999999</v>
      </c>
      <c r="AK720" s="439">
        <v>277.15499999999997</v>
      </c>
      <c r="AL720" s="439">
        <v>334.64100000000002</v>
      </c>
      <c r="AM720" s="439">
        <v>335</v>
      </c>
      <c r="AN720" s="439">
        <f t="shared" si="779"/>
        <v>362</v>
      </c>
      <c r="AO720" s="440">
        <v>362</v>
      </c>
      <c r="AP720" s="439">
        <v>494</v>
      </c>
      <c r="AQ720" s="439">
        <v>420</v>
      </c>
      <c r="AR720" s="439">
        <v>572</v>
      </c>
      <c r="AS720" s="439">
        <f t="shared" si="780"/>
        <v>493</v>
      </c>
      <c r="AT720" s="440">
        <v>493</v>
      </c>
      <c r="AU720" s="439">
        <v>454</v>
      </c>
      <c r="AV720" s="439">
        <v>858</v>
      </c>
      <c r="AW720" s="726">
        <v>1061</v>
      </c>
      <c r="AX720" s="439"/>
      <c r="AY720" s="440"/>
      <c r="AZ720" s="439"/>
      <c r="BA720" s="439"/>
      <c r="BB720" s="439"/>
      <c r="BC720" s="439"/>
      <c r="BD720" s="440"/>
      <c r="BE720" s="440"/>
      <c r="BF720" s="440"/>
      <c r="BG720" s="440"/>
      <c r="BH720" s="361"/>
    </row>
    <row r="721" spans="1:60" s="356" customFormat="1" hidden="1" outlineLevel="1" x14ac:dyDescent="0.25">
      <c r="A721" s="618" t="s">
        <v>644</v>
      </c>
      <c r="B721" s="450"/>
      <c r="C721" s="440">
        <v>7.0380000000000003</v>
      </c>
      <c r="D721" s="440">
        <v>20.125</v>
      </c>
      <c r="E721" s="440">
        <v>26.12</v>
      </c>
      <c r="F721" s="440">
        <v>62.558999999999997</v>
      </c>
      <c r="G721" s="439">
        <v>63.255000000000003</v>
      </c>
      <c r="H721" s="439">
        <v>77.86</v>
      </c>
      <c r="I721" s="439">
        <v>102.387</v>
      </c>
      <c r="J721" s="439">
        <f t="shared" ref="J721" si="791">K721</f>
        <v>69.323999999999998</v>
      </c>
      <c r="K721" s="440">
        <v>69.323999999999998</v>
      </c>
      <c r="L721" s="439">
        <v>132.23400000000001</v>
      </c>
      <c r="M721" s="439">
        <v>250.03</v>
      </c>
      <c r="N721" s="439">
        <v>226.023</v>
      </c>
      <c r="O721" s="439">
        <f t="shared" ref="O721" si="792">P721</f>
        <v>397.31799999999998</v>
      </c>
      <c r="P721" s="440">
        <v>397.31799999999998</v>
      </c>
      <c r="Q721" s="439">
        <v>492.64499999999998</v>
      </c>
      <c r="R721" s="439">
        <v>597.32899999999995</v>
      </c>
      <c r="S721" s="439">
        <v>692.43700000000001</v>
      </c>
      <c r="T721" s="439">
        <f t="shared" ref="T721" si="793">U721</f>
        <v>476.512</v>
      </c>
      <c r="U721" s="440">
        <v>476.512</v>
      </c>
      <c r="V721" s="439">
        <v>472.834</v>
      </c>
      <c r="W721" s="439">
        <v>754.82799999999997</v>
      </c>
      <c r="X721" s="439">
        <v>791.6</v>
      </c>
      <c r="Y721" s="439">
        <f t="shared" ref="Y721" si="794">Z721</f>
        <v>1016.731</v>
      </c>
      <c r="Z721" s="440">
        <v>1016.731</v>
      </c>
      <c r="AA721" s="439">
        <v>1141.556</v>
      </c>
      <c r="AB721" s="439">
        <v>1470.3589999999999</v>
      </c>
      <c r="AC721" s="439">
        <v>1418.385</v>
      </c>
      <c r="AD721" s="439">
        <f t="shared" ref="AD721" si="795">AE721</f>
        <v>1013.909</v>
      </c>
      <c r="AE721" s="440">
        <v>1013.909</v>
      </c>
      <c r="AF721" s="439">
        <v>1125.665</v>
      </c>
      <c r="AG721" s="439">
        <v>1721.86</v>
      </c>
      <c r="AH721" s="439">
        <v>1657.3389999999999</v>
      </c>
      <c r="AI721" s="439">
        <f t="shared" ref="AI721" si="796">AJ721</f>
        <v>1581.7629999999999</v>
      </c>
      <c r="AJ721" s="440">
        <v>1581.7629999999999</v>
      </c>
      <c r="AK721" s="439">
        <v>2151.0120000000002</v>
      </c>
      <c r="AL721" s="439">
        <v>1600.2139999999999</v>
      </c>
      <c r="AM721" s="439">
        <v>1583</v>
      </c>
      <c r="AN721" s="439">
        <f t="shared" ref="AN721" si="797">AO721</f>
        <v>1356</v>
      </c>
      <c r="AO721" s="440">
        <v>1356</v>
      </c>
      <c r="AP721" s="439">
        <v>1961</v>
      </c>
      <c r="AQ721" s="439">
        <v>1379</v>
      </c>
      <c r="AR721" s="439">
        <v>1674</v>
      </c>
      <c r="AS721" s="439">
        <f t="shared" ref="AS721" si="798">AT721</f>
        <v>1666</v>
      </c>
      <c r="AT721" s="440">
        <v>1666</v>
      </c>
      <c r="AU721" s="439">
        <v>1341</v>
      </c>
      <c r="AV721" s="439">
        <v>1318</v>
      </c>
      <c r="AW721" s="726">
        <v>1252</v>
      </c>
      <c r="AX721" s="439"/>
      <c r="AY721" s="440"/>
      <c r="AZ721" s="439"/>
      <c r="BA721" s="439"/>
      <c r="BB721" s="439"/>
      <c r="BC721" s="439"/>
      <c r="BD721" s="440"/>
      <c r="BE721" s="440"/>
      <c r="BF721" s="440"/>
      <c r="BG721" s="440"/>
      <c r="BH721" s="361"/>
    </row>
    <row r="722" spans="1:60" s="356" customFormat="1" hidden="1" outlineLevel="1" x14ac:dyDescent="0.25">
      <c r="A722" s="619" t="s">
        <v>667</v>
      </c>
      <c r="B722" s="527"/>
      <c r="C722" s="479">
        <v>2.78</v>
      </c>
      <c r="D722" s="479">
        <v>4.5830000000000002</v>
      </c>
      <c r="E722" s="479">
        <v>8.202</v>
      </c>
      <c r="F722" s="479">
        <v>17.773</v>
      </c>
      <c r="G722" s="459">
        <v>16.699000000000002</v>
      </c>
      <c r="H722" s="459">
        <v>29.422999999999998</v>
      </c>
      <c r="I722" s="459">
        <v>42.204000000000001</v>
      </c>
      <c r="J722" s="459">
        <f t="shared" si="773"/>
        <v>43.866</v>
      </c>
      <c r="K722" s="479">
        <v>43.866</v>
      </c>
      <c r="L722" s="459">
        <v>56.286000000000001</v>
      </c>
      <c r="M722" s="459">
        <v>63.508000000000003</v>
      </c>
      <c r="N722" s="459">
        <v>89.650999999999996</v>
      </c>
      <c r="O722" s="459">
        <f t="shared" si="774"/>
        <v>107.95099999999999</v>
      </c>
      <c r="P722" s="479">
        <v>107.95099999999999</v>
      </c>
      <c r="Q722" s="459">
        <v>128.584</v>
      </c>
      <c r="R722" s="459">
        <v>120.663</v>
      </c>
      <c r="S722" s="459">
        <v>121.002</v>
      </c>
      <c r="T722" s="459">
        <f t="shared" si="775"/>
        <v>108.56100000000001</v>
      </c>
      <c r="U722" s="479">
        <v>108.56100000000001</v>
      </c>
      <c r="V722" s="459">
        <v>122.441</v>
      </c>
      <c r="W722" s="459">
        <v>128.51900000000001</v>
      </c>
      <c r="X722" s="459">
        <v>129.28200000000001</v>
      </c>
      <c r="Y722" s="459">
        <f t="shared" si="776"/>
        <v>136.63800000000001</v>
      </c>
      <c r="Z722" s="479">
        <v>136.63800000000001</v>
      </c>
      <c r="AA722" s="459">
        <v>130.59700000000001</v>
      </c>
      <c r="AB722" s="459">
        <v>143.32300000000001</v>
      </c>
      <c r="AC722" s="459">
        <v>163.61699999999999</v>
      </c>
      <c r="AD722" s="459">
        <f t="shared" si="777"/>
        <v>185.05099999999999</v>
      </c>
      <c r="AE722" s="479">
        <v>185.05099999999999</v>
      </c>
      <c r="AF722" s="459">
        <v>222.744</v>
      </c>
      <c r="AG722" s="459">
        <v>279.601</v>
      </c>
      <c r="AH722" s="459">
        <v>301.19900000000001</v>
      </c>
      <c r="AI722" s="459">
        <f t="shared" si="778"/>
        <v>302.86399999999998</v>
      </c>
      <c r="AJ722" s="479">
        <v>302.86399999999998</v>
      </c>
      <c r="AK722" s="459">
        <v>329.46699999999998</v>
      </c>
      <c r="AL722" s="459">
        <v>351.61500000000001</v>
      </c>
      <c r="AM722" s="459">
        <v>379</v>
      </c>
      <c r="AN722" s="459">
        <f t="shared" si="779"/>
        <v>406</v>
      </c>
      <c r="AO722" s="479">
        <v>406</v>
      </c>
      <c r="AP722" s="459">
        <v>386</v>
      </c>
      <c r="AQ722" s="459">
        <v>377</v>
      </c>
      <c r="AR722" s="459">
        <v>399</v>
      </c>
      <c r="AS722" s="459">
        <f t="shared" si="780"/>
        <v>434</v>
      </c>
      <c r="AT722" s="479">
        <v>434</v>
      </c>
      <c r="AU722" s="459">
        <v>501</v>
      </c>
      <c r="AV722" s="459">
        <v>490</v>
      </c>
      <c r="AW722" s="723">
        <v>531</v>
      </c>
      <c r="AX722" s="459"/>
      <c r="AY722" s="479"/>
      <c r="AZ722" s="459"/>
      <c r="BA722" s="459"/>
      <c r="BB722" s="459"/>
      <c r="BC722" s="459"/>
      <c r="BD722" s="479"/>
      <c r="BE722" s="479"/>
      <c r="BF722" s="479"/>
      <c r="BG722" s="479"/>
      <c r="BH722" s="361"/>
    </row>
    <row r="723" spans="1:60" s="356" customFormat="1" collapsed="1" x14ac:dyDescent="0.25">
      <c r="A723" s="526" t="s">
        <v>259</v>
      </c>
      <c r="B723" s="450"/>
      <c r="C723" s="440">
        <f t="shared" ref="C723:AU723" si="799">SUM(C719:C722)</f>
        <v>23.222000000000001</v>
      </c>
      <c r="D723" s="440">
        <f t="shared" si="799"/>
        <v>45.182000000000002</v>
      </c>
      <c r="E723" s="440">
        <f t="shared" si="799"/>
        <v>50.082000000000001</v>
      </c>
      <c r="F723" s="440">
        <f t="shared" si="799"/>
        <v>268.50400000000002</v>
      </c>
      <c r="G723" s="439">
        <f t="shared" si="799"/>
        <v>237.61799999999999</v>
      </c>
      <c r="H723" s="439">
        <f t="shared" si="799"/>
        <v>254.89100000000002</v>
      </c>
      <c r="I723" s="439">
        <f t="shared" si="799"/>
        <v>347.54500000000002</v>
      </c>
      <c r="J723" s="439">
        <f t="shared" si="799"/>
        <v>340.35499999999996</v>
      </c>
      <c r="K723" s="440">
        <f t="shared" si="799"/>
        <v>340.35499999999996</v>
      </c>
      <c r="L723" s="439">
        <f t="shared" si="799"/>
        <v>450.72999999999996</v>
      </c>
      <c r="M723" s="439">
        <f t="shared" si="799"/>
        <v>596.92700000000002</v>
      </c>
      <c r="N723" s="439">
        <f t="shared" si="799"/>
        <v>752.49199999999996</v>
      </c>
      <c r="O723" s="439">
        <f t="shared" si="799"/>
        <v>953.67499999999995</v>
      </c>
      <c r="P723" s="440">
        <f t="shared" si="799"/>
        <v>953.67499999999995</v>
      </c>
      <c r="Q723" s="439">
        <f t="shared" si="799"/>
        <v>1054.8399999999999</v>
      </c>
      <c r="R723" s="439">
        <f t="shared" si="799"/>
        <v>1212.279</v>
      </c>
      <c r="S723" s="439">
        <f t="shared" si="799"/>
        <v>1293.7169999999999</v>
      </c>
      <c r="T723" s="439">
        <f t="shared" si="799"/>
        <v>1277.838</v>
      </c>
      <c r="U723" s="440">
        <f t="shared" si="799"/>
        <v>1277.838</v>
      </c>
      <c r="V723" s="439">
        <f t="shared" si="799"/>
        <v>1301.961</v>
      </c>
      <c r="W723" s="439">
        <f t="shared" si="799"/>
        <v>1609.607</v>
      </c>
      <c r="X723" s="439">
        <f t="shared" si="799"/>
        <v>1604.5709999999999</v>
      </c>
      <c r="Y723" s="439">
        <f t="shared" si="799"/>
        <v>2067.4540000000002</v>
      </c>
      <c r="Z723" s="440">
        <f t="shared" si="799"/>
        <v>2067.4540000000002</v>
      </c>
      <c r="AA723" s="439">
        <f t="shared" si="799"/>
        <v>2220.3360000000002</v>
      </c>
      <c r="AB723" s="439">
        <f t="shared" si="799"/>
        <v>2438.1109999999999</v>
      </c>
      <c r="AC723" s="439">
        <f t="shared" si="799"/>
        <v>2471.3820000000001</v>
      </c>
      <c r="AD723" s="439">
        <f t="shared" si="799"/>
        <v>2263.5369999999998</v>
      </c>
      <c r="AE723" s="440">
        <f t="shared" si="799"/>
        <v>2263.5369999999998</v>
      </c>
      <c r="AF723" s="439">
        <f t="shared" si="799"/>
        <v>2565.826</v>
      </c>
      <c r="AG723" s="439">
        <f t="shared" si="799"/>
        <v>3324.643</v>
      </c>
      <c r="AH723" s="439">
        <f t="shared" si="799"/>
        <v>3314.127</v>
      </c>
      <c r="AI723" s="439">
        <f t="shared" si="799"/>
        <v>3113.4459999999999</v>
      </c>
      <c r="AJ723" s="440">
        <f t="shared" si="799"/>
        <v>3113.4459999999999</v>
      </c>
      <c r="AK723" s="439">
        <f t="shared" si="799"/>
        <v>3836.85</v>
      </c>
      <c r="AL723" s="439">
        <f t="shared" si="799"/>
        <v>3382.3580000000002</v>
      </c>
      <c r="AM723" s="439">
        <f t="shared" si="799"/>
        <v>3581</v>
      </c>
      <c r="AN723" s="439">
        <f t="shared" si="799"/>
        <v>3552</v>
      </c>
      <c r="AO723" s="440">
        <f t="shared" si="799"/>
        <v>3552</v>
      </c>
      <c r="AP723" s="439">
        <f t="shared" si="799"/>
        <v>4494</v>
      </c>
      <c r="AQ723" s="439">
        <f t="shared" si="799"/>
        <v>4018</v>
      </c>
      <c r="AR723" s="439">
        <f t="shared" si="799"/>
        <v>4218</v>
      </c>
      <c r="AS723" s="439">
        <f t="shared" si="799"/>
        <v>4101</v>
      </c>
      <c r="AT723" s="440">
        <f t="shared" si="799"/>
        <v>4101</v>
      </c>
      <c r="AU723" s="439">
        <f t="shared" si="799"/>
        <v>4132</v>
      </c>
      <c r="AV723" s="439">
        <f>SUM(AV719:AV722)</f>
        <v>4733</v>
      </c>
      <c r="AW723" s="726">
        <f>SUM(AW719:AW722)</f>
        <v>5199</v>
      </c>
      <c r="AX723" s="439">
        <f>(AX$381+AW$381+AV$381+AU$381)*AX676</f>
        <v>6892.6151627751933</v>
      </c>
      <c r="AY723" s="440">
        <f>AX723</f>
        <v>6892.6151627751933</v>
      </c>
      <c r="AZ723" s="439">
        <f>(AZ$381+AX$381+AW$381+AV$381)*AZ676</f>
        <v>7360.0951088594402</v>
      </c>
      <c r="BA723" s="439">
        <f>(BA$381+AZ$381+AX$381+AW$381)*BA676</f>
        <v>8738.0585426417019</v>
      </c>
      <c r="BB723" s="439">
        <f>(BB$381+BA$381+AZ$381+AX$381)*BB676</f>
        <v>10400.602231877518</v>
      </c>
      <c r="BC723" s="439">
        <f>(BC$381+BB$381+BA$381+AZ$381)*BC676</f>
        <v>14424.201299962597</v>
      </c>
      <c r="BD723" s="440">
        <f>BC723</f>
        <v>14424.201299962597</v>
      </c>
      <c r="BE723" s="440">
        <f>BE381*BE676</f>
        <v>17783.775024330673</v>
      </c>
      <c r="BF723" s="440">
        <f>BF381*BF676</f>
        <v>21792.39405572231</v>
      </c>
      <c r="BG723" s="440">
        <f>BG381*BG676</f>
        <v>26718.593477303999</v>
      </c>
      <c r="BH723" s="361"/>
    </row>
    <row r="724" spans="1:60" s="356" customFormat="1" x14ac:dyDescent="0.25">
      <c r="A724" s="466" t="s">
        <v>189</v>
      </c>
      <c r="B724" s="527"/>
      <c r="C724" s="479">
        <v>4.2220000000000004</v>
      </c>
      <c r="D724" s="479">
        <v>10.839</v>
      </c>
      <c r="E724" s="479">
        <v>9.4139999999999997</v>
      </c>
      <c r="F724" s="479">
        <v>8.4380000000000006</v>
      </c>
      <c r="G724" s="459">
        <v>11.1</v>
      </c>
      <c r="H724" s="459">
        <v>13.688000000000001</v>
      </c>
      <c r="I724" s="459">
        <v>27.26</v>
      </c>
      <c r="J724" s="459">
        <f t="shared" si="773"/>
        <v>27.574000000000002</v>
      </c>
      <c r="K724" s="479">
        <v>27.574000000000002</v>
      </c>
      <c r="L724" s="459">
        <v>48.869</v>
      </c>
      <c r="M724" s="459">
        <v>61.536000000000001</v>
      </c>
      <c r="N724" s="459">
        <v>65.466999999999999</v>
      </c>
      <c r="O724" s="459">
        <f t="shared" si="774"/>
        <v>76.134</v>
      </c>
      <c r="P724" s="479">
        <v>76.134</v>
      </c>
      <c r="Q724" s="459">
        <v>135.756</v>
      </c>
      <c r="R724" s="459">
        <v>106.43</v>
      </c>
      <c r="S724" s="459">
        <v>133.85499999999999</v>
      </c>
      <c r="T724" s="459">
        <f t="shared" si="775"/>
        <v>125.229</v>
      </c>
      <c r="U724" s="479">
        <v>125.229</v>
      </c>
      <c r="V724" s="459">
        <v>153.75700000000001</v>
      </c>
      <c r="W724" s="459">
        <v>144.678</v>
      </c>
      <c r="X724" s="459">
        <v>132.97800000000001</v>
      </c>
      <c r="Y724" s="459">
        <f t="shared" si="776"/>
        <v>194.465</v>
      </c>
      <c r="Z724" s="479">
        <v>194.465</v>
      </c>
      <c r="AA724" s="459">
        <v>271.66500000000002</v>
      </c>
      <c r="AB724" s="459">
        <v>313.50099999999998</v>
      </c>
      <c r="AC724" s="459">
        <v>321.40600000000001</v>
      </c>
      <c r="AD724" s="459">
        <f t="shared" si="777"/>
        <v>268.36500000000001</v>
      </c>
      <c r="AE724" s="479">
        <v>268.36500000000001</v>
      </c>
      <c r="AF724" s="459">
        <v>379.37900000000002</v>
      </c>
      <c r="AG724" s="459">
        <v>422.03399999999999</v>
      </c>
      <c r="AH724" s="459">
        <v>325.23200000000003</v>
      </c>
      <c r="AI724" s="459">
        <f t="shared" si="778"/>
        <v>365.67099999999999</v>
      </c>
      <c r="AJ724" s="479">
        <v>365.67099999999999</v>
      </c>
      <c r="AK724" s="459">
        <v>464.90800000000002</v>
      </c>
      <c r="AL724" s="459">
        <v>569.74800000000005</v>
      </c>
      <c r="AM724" s="459">
        <v>660</v>
      </c>
      <c r="AN724" s="459">
        <f t="shared" si="779"/>
        <v>713</v>
      </c>
      <c r="AO724" s="479">
        <v>713</v>
      </c>
      <c r="AP724" s="459">
        <f>1045-AP717</f>
        <v>852</v>
      </c>
      <c r="AQ724" s="459">
        <f>1218-AQ717</f>
        <v>1015</v>
      </c>
      <c r="AR724" s="459">
        <f>1238-AR717</f>
        <v>1064</v>
      </c>
      <c r="AS724" s="459">
        <f t="shared" si="780"/>
        <v>1108</v>
      </c>
      <c r="AT724" s="479">
        <f>1346-AT717</f>
        <v>1108</v>
      </c>
      <c r="AU724" s="459">
        <f>1542-AU717</f>
        <v>1237</v>
      </c>
      <c r="AV724" s="459">
        <f>1602-AV717</f>
        <v>1276</v>
      </c>
      <c r="AW724" s="723">
        <f>1746-AW717</f>
        <v>1419</v>
      </c>
      <c r="AX724" s="459">
        <f>(AX$381+AW$381+AV$381+AU$381)*AX677</f>
        <v>1862.233016424022</v>
      </c>
      <c r="AY724" s="479">
        <f>AX724</f>
        <v>1862.233016424022</v>
      </c>
      <c r="AZ724" s="459">
        <f>(AZ$381+AX$381+AW$381+AV$381)*AZ677</f>
        <v>2203.3973014663907</v>
      </c>
      <c r="BA724" s="459">
        <f>(BA$381+AZ$381+AX$381+AW$381)*BA677</f>
        <v>2355.7495669577033</v>
      </c>
      <c r="BB724" s="459">
        <f>(BB$381+BA$381+AZ$381+AX$381)*BB677</f>
        <v>2838.7102456307362</v>
      </c>
      <c r="BC724" s="459">
        <f>(BC$381+BB$381+BA$381+AZ$381)*BC677</f>
        <v>3897.101936200575</v>
      </c>
      <c r="BD724" s="479">
        <f>BC724</f>
        <v>3897.101936200575</v>
      </c>
      <c r="BE724" s="479">
        <f>BE381*BE677</f>
        <v>4804.784863925478</v>
      </c>
      <c r="BF724" s="479">
        <f>BF381*BF677</f>
        <v>5887.8255580932255</v>
      </c>
      <c r="BG724" s="479">
        <f>BG381*BG677</f>
        <v>7218.7762918441431</v>
      </c>
      <c r="BH724" s="361"/>
    </row>
    <row r="725" spans="1:60" s="116" customFormat="1" x14ac:dyDescent="0.25">
      <c r="A725" s="528" t="s">
        <v>260</v>
      </c>
      <c r="B725" s="529"/>
      <c r="C725" s="45">
        <f t="shared" ref="C725:AU725" si="800">SUM(C723:C724)+SUM(C715:C718)</f>
        <v>100.559</v>
      </c>
      <c r="D725" s="45">
        <f t="shared" si="800"/>
        <v>235.88600000000002</v>
      </c>
      <c r="E725" s="45">
        <f t="shared" si="800"/>
        <v>372.83799999999997</v>
      </c>
      <c r="F725" s="45">
        <f t="shared" si="800"/>
        <v>524.76800000000003</v>
      </c>
      <c r="G725" s="44">
        <f t="shared" si="800"/>
        <v>525.99299999999994</v>
      </c>
      <c r="H725" s="44">
        <f t="shared" si="800"/>
        <v>1129.5419999999999</v>
      </c>
      <c r="I725" s="44">
        <f t="shared" si="800"/>
        <v>1218.7660000000001</v>
      </c>
      <c r="J725" s="44">
        <f t="shared" si="800"/>
        <v>1265.9389999999999</v>
      </c>
      <c r="K725" s="45">
        <f t="shared" si="800"/>
        <v>1265.9389999999999</v>
      </c>
      <c r="L725" s="44">
        <f t="shared" si="800"/>
        <v>3156.0469999999996</v>
      </c>
      <c r="M725" s="44">
        <f t="shared" si="800"/>
        <v>3441.6939999999995</v>
      </c>
      <c r="N725" s="44">
        <f t="shared" si="800"/>
        <v>3362.9140000000002</v>
      </c>
      <c r="O725" s="44">
        <f t="shared" si="800"/>
        <v>3180.0729999999994</v>
      </c>
      <c r="P725" s="45">
        <f t="shared" si="800"/>
        <v>3180.0729999999994</v>
      </c>
      <c r="Q725" s="44">
        <f t="shared" si="800"/>
        <v>2921.4169999999999</v>
      </c>
      <c r="R725" s="44">
        <f t="shared" si="800"/>
        <v>2628.6210000000001</v>
      </c>
      <c r="S725" s="44">
        <f t="shared" si="800"/>
        <v>2998.7950000000001</v>
      </c>
      <c r="T725" s="44">
        <f t="shared" si="800"/>
        <v>2791.5679999999998</v>
      </c>
      <c r="U725" s="45">
        <f t="shared" si="800"/>
        <v>2791.5679999999998</v>
      </c>
      <c r="V725" s="44">
        <f t="shared" si="800"/>
        <v>3239.5430000000001</v>
      </c>
      <c r="W725" s="44">
        <f t="shared" si="800"/>
        <v>5203.7049999999999</v>
      </c>
      <c r="X725" s="44">
        <f t="shared" si="800"/>
        <v>5172.4120000000003</v>
      </c>
      <c r="Y725" s="44">
        <f t="shared" si="800"/>
        <v>6259.7960000000003</v>
      </c>
      <c r="Z725" s="45">
        <f t="shared" si="800"/>
        <v>6259.7960000000003</v>
      </c>
      <c r="AA725" s="44">
        <f t="shared" si="800"/>
        <v>7027.8890000000001</v>
      </c>
      <c r="AB725" s="44">
        <f t="shared" si="800"/>
        <v>6359.4440000000004</v>
      </c>
      <c r="AC725" s="44">
        <f t="shared" si="800"/>
        <v>7068.7330000000002</v>
      </c>
      <c r="AD725" s="44">
        <f t="shared" si="800"/>
        <v>6570.52</v>
      </c>
      <c r="AE725" s="45">
        <f t="shared" si="800"/>
        <v>6570.52</v>
      </c>
      <c r="AF725" s="44">
        <f t="shared" si="800"/>
        <v>6383.92</v>
      </c>
      <c r="AG725" s="44">
        <f t="shared" si="800"/>
        <v>6699.7970000000005</v>
      </c>
      <c r="AH725" s="44">
        <f t="shared" si="800"/>
        <v>7920.491</v>
      </c>
      <c r="AI725" s="44">
        <f t="shared" si="800"/>
        <v>8306.3079999999991</v>
      </c>
      <c r="AJ725" s="45">
        <f t="shared" si="800"/>
        <v>8306.3079999999991</v>
      </c>
      <c r="AK725" s="44">
        <f t="shared" si="800"/>
        <v>7677.8219999999992</v>
      </c>
      <c r="AL725" s="44">
        <f t="shared" si="800"/>
        <v>10181.951999999999</v>
      </c>
      <c r="AM725" s="44">
        <f t="shared" si="800"/>
        <v>10940</v>
      </c>
      <c r="AN725" s="44">
        <f t="shared" si="800"/>
        <v>12103</v>
      </c>
      <c r="AO725" s="45">
        <f t="shared" si="800"/>
        <v>12103</v>
      </c>
      <c r="AP725" s="44">
        <f t="shared" si="800"/>
        <v>14893</v>
      </c>
      <c r="AQ725" s="44">
        <f t="shared" si="800"/>
        <v>15336</v>
      </c>
      <c r="AR725" s="44">
        <f t="shared" si="800"/>
        <v>21744</v>
      </c>
      <c r="AS725" s="44">
        <f t="shared" si="800"/>
        <v>26717</v>
      </c>
      <c r="AT725" s="45">
        <f t="shared" si="800"/>
        <v>26717</v>
      </c>
      <c r="AU725" s="44">
        <f t="shared" si="800"/>
        <v>24705</v>
      </c>
      <c r="AV725" s="44">
        <f t="shared" ref="AV725:BG725" si="801">SUM(AV723:AV724)+SUM(AV715:AV718)</f>
        <v>24693</v>
      </c>
      <c r="AW725" s="729">
        <f t="shared" si="801"/>
        <v>25002</v>
      </c>
      <c r="AX725" s="44">
        <f t="shared" ca="1" si="801"/>
        <v>29506.748582334796</v>
      </c>
      <c r="AY725" s="45">
        <f t="shared" ca="1" si="801"/>
        <v>29506.748582334796</v>
      </c>
      <c r="AZ725" s="44">
        <f t="shared" ca="1" si="801"/>
        <v>32825.072877923318</v>
      </c>
      <c r="BA725" s="44">
        <f t="shared" ca="1" si="801"/>
        <v>37772.227139175011</v>
      </c>
      <c r="BB725" s="44">
        <f t="shared" ca="1" si="801"/>
        <v>45576.118420300423</v>
      </c>
      <c r="BC725" s="44">
        <f t="shared" ca="1" si="801"/>
        <v>56190.03702997596</v>
      </c>
      <c r="BD725" s="45">
        <f t="shared" ca="1" si="801"/>
        <v>56190.03702997596</v>
      </c>
      <c r="BE725" s="45">
        <f t="shared" ca="1" si="801"/>
        <v>74392.620137139675</v>
      </c>
      <c r="BF725" s="45">
        <f t="shared" ca="1" si="801"/>
        <v>97907.111064281198</v>
      </c>
      <c r="BG725" s="45">
        <f t="shared" ca="1" si="801"/>
        <v>127921.73095806755</v>
      </c>
      <c r="BH725" s="368"/>
    </row>
    <row r="726" spans="1:60" s="116" customFormat="1" x14ac:dyDescent="0.25">
      <c r="A726" s="530"/>
      <c r="B726" s="531"/>
      <c r="C726" s="438"/>
      <c r="D726" s="438"/>
      <c r="E726" s="438"/>
      <c r="F726" s="438"/>
      <c r="G726" s="437"/>
      <c r="H726" s="437"/>
      <c r="I726" s="437"/>
      <c r="J726" s="437"/>
      <c r="K726" s="438"/>
      <c r="L726" s="437"/>
      <c r="M726" s="437"/>
      <c r="N726" s="437"/>
      <c r="O726" s="437"/>
      <c r="P726" s="438"/>
      <c r="Q726" s="437"/>
      <c r="R726" s="437"/>
      <c r="S726" s="437"/>
      <c r="T726" s="437"/>
      <c r="U726" s="438"/>
      <c r="V726" s="437"/>
      <c r="W726" s="437"/>
      <c r="X726" s="437"/>
      <c r="Y726" s="437"/>
      <c r="Z726" s="438"/>
      <c r="AA726" s="437"/>
      <c r="AB726" s="437"/>
      <c r="AC726" s="437"/>
      <c r="AD726" s="437"/>
      <c r="AE726" s="438"/>
      <c r="AF726" s="437"/>
      <c r="AG726" s="437"/>
      <c r="AH726" s="437"/>
      <c r="AI726" s="437"/>
      <c r="AJ726" s="438"/>
      <c r="AK726" s="437"/>
      <c r="AL726" s="437"/>
      <c r="AM726" s="437"/>
      <c r="AN726" s="437"/>
      <c r="AO726" s="438"/>
      <c r="AP726" s="437"/>
      <c r="AQ726" s="437"/>
      <c r="AR726" s="437"/>
      <c r="AS726" s="437"/>
      <c r="AT726" s="438"/>
      <c r="AU726" s="437"/>
      <c r="AV726" s="437"/>
      <c r="AW726" s="725"/>
      <c r="AX726" s="437"/>
      <c r="AY726" s="438"/>
      <c r="AZ726" s="437"/>
      <c r="BA726" s="437"/>
      <c r="BB726" s="437"/>
      <c r="BC726" s="437"/>
      <c r="BD726" s="438"/>
      <c r="BE726" s="438"/>
      <c r="BF726" s="438"/>
      <c r="BG726" s="438"/>
      <c r="BH726" s="368"/>
    </row>
    <row r="727" spans="1:60" s="116" customFormat="1" x14ac:dyDescent="0.25">
      <c r="A727" s="532" t="s">
        <v>261</v>
      </c>
      <c r="B727" s="531"/>
      <c r="C727" s="438"/>
      <c r="D727" s="438"/>
      <c r="E727" s="438"/>
      <c r="F727" s="438"/>
      <c r="G727" s="437"/>
      <c r="H727" s="437"/>
      <c r="I727" s="437"/>
      <c r="J727" s="437"/>
      <c r="K727" s="438"/>
      <c r="L727" s="437"/>
      <c r="M727" s="437"/>
      <c r="N727" s="437"/>
      <c r="O727" s="437"/>
      <c r="P727" s="438"/>
      <c r="Q727" s="437"/>
      <c r="R727" s="437"/>
      <c r="S727" s="437"/>
      <c r="T727" s="437"/>
      <c r="U727" s="438"/>
      <c r="V727" s="437"/>
      <c r="W727" s="437"/>
      <c r="X727" s="437"/>
      <c r="Y727" s="437"/>
      <c r="Z727" s="438"/>
      <c r="AA727" s="437"/>
      <c r="AB727" s="437"/>
      <c r="AC727" s="437"/>
      <c r="AD727" s="437"/>
      <c r="AE727" s="438"/>
      <c r="AF727" s="437"/>
      <c r="AG727" s="437"/>
      <c r="AH727" s="437"/>
      <c r="AI727" s="437"/>
      <c r="AJ727" s="438"/>
      <c r="AK727" s="437"/>
      <c r="AL727" s="437"/>
      <c r="AM727" s="437"/>
      <c r="AN727" s="437"/>
      <c r="AO727" s="438"/>
      <c r="AP727" s="437"/>
      <c r="AQ727" s="437"/>
      <c r="AR727" s="437"/>
      <c r="AS727" s="437"/>
      <c r="AT727" s="438"/>
      <c r="AU727" s="437"/>
      <c r="AV727" s="437"/>
      <c r="AW727" s="725"/>
      <c r="AX727" s="437"/>
      <c r="AY727" s="438"/>
      <c r="AZ727" s="437"/>
      <c r="BA727" s="437"/>
      <c r="BB727" s="437"/>
      <c r="BC727" s="437"/>
      <c r="BD727" s="438"/>
      <c r="BE727" s="438"/>
      <c r="BF727" s="438"/>
      <c r="BG727" s="438"/>
      <c r="BH727" s="368"/>
    </row>
    <row r="728" spans="1:60" s="356" customFormat="1" x14ac:dyDescent="0.25">
      <c r="A728" s="526" t="s">
        <v>262</v>
      </c>
      <c r="B728" s="450"/>
      <c r="C728" s="440"/>
      <c r="D728" s="440">
        <v>7.9630000000000001</v>
      </c>
      <c r="E728" s="440">
        <v>11.757</v>
      </c>
      <c r="F728" s="440">
        <v>10.071</v>
      </c>
      <c r="G728" s="439">
        <v>9.06</v>
      </c>
      <c r="H728" s="439">
        <v>131.46799999999999</v>
      </c>
      <c r="I728" s="439">
        <v>268.82400000000001</v>
      </c>
      <c r="J728" s="439">
        <f>K728</f>
        <v>382.42500000000001</v>
      </c>
      <c r="K728" s="440">
        <v>382.42500000000001</v>
      </c>
      <c r="L728" s="439">
        <v>451.72899999999998</v>
      </c>
      <c r="M728" s="439">
        <v>531.226</v>
      </c>
      <c r="N728" s="439">
        <v>617.74300000000005</v>
      </c>
      <c r="O728" s="439">
        <f>P728</f>
        <v>766.74400000000003</v>
      </c>
      <c r="P728" s="440">
        <v>766.74400000000003</v>
      </c>
      <c r="Q728" s="439">
        <v>912.06100000000004</v>
      </c>
      <c r="R728" s="439">
        <v>1120.2460000000001</v>
      </c>
      <c r="S728" s="439">
        <v>1360.7249999999999</v>
      </c>
      <c r="T728" s="439">
        <f>U728</f>
        <v>1791.403</v>
      </c>
      <c r="U728" s="440">
        <v>1791.403</v>
      </c>
      <c r="V728" s="439">
        <v>2244.21</v>
      </c>
      <c r="W728" s="439">
        <v>2533.7260000000001</v>
      </c>
      <c r="X728" s="439">
        <v>2949.297</v>
      </c>
      <c r="Y728" s="439">
        <f t="shared" ref="Y728:Y739" si="802">Z728</f>
        <v>3134.08</v>
      </c>
      <c r="Z728" s="440">
        <v>3134.08</v>
      </c>
      <c r="AA728" s="439">
        <v>3452.5949999999998</v>
      </c>
      <c r="AB728" s="439">
        <v>3600.8209999999999</v>
      </c>
      <c r="AC728" s="439">
        <v>3834.2339999999999</v>
      </c>
      <c r="AD728" s="439">
        <f t="shared" ref="AD728:AD739" si="803">AE728</f>
        <v>4116.6040000000003</v>
      </c>
      <c r="AE728" s="440">
        <v>4116.6040000000003</v>
      </c>
      <c r="AF728" s="439">
        <v>2315.1239999999998</v>
      </c>
      <c r="AG728" s="439">
        <v>2282.047</v>
      </c>
      <c r="AH728" s="439">
        <v>2186.1370000000002</v>
      </c>
      <c r="AI728" s="439">
        <f t="shared" ref="AI728:AI739" si="804">AJ728</f>
        <v>2089.7579999999998</v>
      </c>
      <c r="AJ728" s="440">
        <v>2089.7579999999998</v>
      </c>
      <c r="AK728" s="439">
        <v>1972.502</v>
      </c>
      <c r="AL728" s="439">
        <v>2069.54</v>
      </c>
      <c r="AM728" s="439">
        <v>2253</v>
      </c>
      <c r="AN728" s="439">
        <f t="shared" ref="AN728:AN747" si="805">AO728</f>
        <v>2447</v>
      </c>
      <c r="AO728" s="440">
        <v>2447</v>
      </c>
      <c r="AP728" s="439">
        <v>2527</v>
      </c>
      <c r="AQ728" s="439">
        <v>2524</v>
      </c>
      <c r="AR728" s="439">
        <v>2742</v>
      </c>
      <c r="AS728" s="439">
        <f t="shared" ref="AS728:AS747" si="806">AT728</f>
        <v>3091</v>
      </c>
      <c r="AT728" s="440">
        <v>3091</v>
      </c>
      <c r="AU728" s="439">
        <v>3396</v>
      </c>
      <c r="AV728" s="439">
        <v>3748</v>
      </c>
      <c r="AW728" s="726">
        <v>4167</v>
      </c>
      <c r="AX728" s="439">
        <f>AX162</f>
        <v>5333.2185056000662</v>
      </c>
      <c r="AY728" s="440">
        <f t="shared" ref="AY728:AY747" si="807">AX728</f>
        <v>5333.2185056000662</v>
      </c>
      <c r="AZ728" s="439">
        <f>AZ162</f>
        <v>6922.7662400546478</v>
      </c>
      <c r="BA728" s="439">
        <f>BA162</f>
        <v>8521.3624551161665</v>
      </c>
      <c r="BB728" s="439">
        <f>BB162</f>
        <v>9326.8861247978566</v>
      </c>
      <c r="BC728" s="439">
        <f>BC162</f>
        <v>11926.006757493989</v>
      </c>
      <c r="BD728" s="440">
        <f t="shared" ref="BD728:BD747" si="808">BC728</f>
        <v>11926.006757493989</v>
      </c>
      <c r="BE728" s="440">
        <f>BE162</f>
        <v>18028.804639644412</v>
      </c>
      <c r="BF728" s="440">
        <f>BF162</f>
        <v>24796.591989945242</v>
      </c>
      <c r="BG728" s="440">
        <f>BG162</f>
        <v>32501.663638431975</v>
      </c>
      <c r="BH728" s="361"/>
    </row>
    <row r="729" spans="1:60" s="356" customFormat="1" x14ac:dyDescent="0.25">
      <c r="A729" s="526" t="s">
        <v>263</v>
      </c>
      <c r="B729" s="450"/>
      <c r="C729" s="440"/>
      <c r="D729" s="440"/>
      <c r="E729" s="440"/>
      <c r="F729" s="440"/>
      <c r="G729" s="439"/>
      <c r="H729" s="439"/>
      <c r="I729" s="439"/>
      <c r="J729" s="439"/>
      <c r="K729" s="440"/>
      <c r="L729" s="439"/>
      <c r="M729" s="439"/>
      <c r="N729" s="439"/>
      <c r="O729" s="439"/>
      <c r="P729" s="440"/>
      <c r="Q729" s="439"/>
      <c r="R729" s="439"/>
      <c r="S729" s="439"/>
      <c r="T729" s="439"/>
      <c r="U729" s="440"/>
      <c r="V729" s="439"/>
      <c r="W729" s="439"/>
      <c r="X729" s="439"/>
      <c r="Y729" s="439">
        <f t="shared" si="802"/>
        <v>5919.88</v>
      </c>
      <c r="Z729" s="440">
        <v>5919.88</v>
      </c>
      <c r="AA729" s="439">
        <v>6085.99</v>
      </c>
      <c r="AB729" s="439">
        <v>6218.5039999999999</v>
      </c>
      <c r="AC729" s="439">
        <v>6287.9650000000001</v>
      </c>
      <c r="AD729" s="439">
        <f t="shared" si="803"/>
        <v>6347.49</v>
      </c>
      <c r="AE729" s="440">
        <v>6347.49</v>
      </c>
      <c r="AF729" s="439">
        <v>6346.3739999999998</v>
      </c>
      <c r="AG729" s="439">
        <v>6340.0309999999999</v>
      </c>
      <c r="AH729" s="439">
        <v>6301.5370000000003</v>
      </c>
      <c r="AI729" s="439">
        <f t="shared" si="804"/>
        <v>6271.3959999999997</v>
      </c>
      <c r="AJ729" s="440">
        <v>6271.3959999999997</v>
      </c>
      <c r="AK729" s="439">
        <v>6241.6369999999997</v>
      </c>
      <c r="AL729" s="439">
        <v>6200.7039999999997</v>
      </c>
      <c r="AM729" s="439">
        <v>6168</v>
      </c>
      <c r="AN729" s="439">
        <f t="shared" si="805"/>
        <v>6138</v>
      </c>
      <c r="AO729" s="440">
        <v>6138</v>
      </c>
      <c r="AP729" s="439">
        <v>6106</v>
      </c>
      <c r="AQ729" s="439">
        <v>6069</v>
      </c>
      <c r="AR729" s="439">
        <v>6025</v>
      </c>
      <c r="AS729" s="439">
        <f t="shared" si="806"/>
        <v>5979</v>
      </c>
      <c r="AT729" s="440">
        <v>5979</v>
      </c>
      <c r="AU729" s="439">
        <v>5933</v>
      </c>
      <c r="AV729" s="439">
        <v>5883</v>
      </c>
      <c r="AW729" s="726">
        <v>5821</v>
      </c>
      <c r="AX729" s="439">
        <f>AX205</f>
        <v>5781</v>
      </c>
      <c r="AY729" s="440">
        <f t="shared" si="807"/>
        <v>5781</v>
      </c>
      <c r="AZ729" s="439">
        <f>AZ205</f>
        <v>5741</v>
      </c>
      <c r="BA729" s="439">
        <f>BA205</f>
        <v>5701</v>
      </c>
      <c r="BB729" s="439">
        <f>BB205</f>
        <v>5661</v>
      </c>
      <c r="BC729" s="439">
        <f>BC205</f>
        <v>5621</v>
      </c>
      <c r="BD729" s="440">
        <f t="shared" si="808"/>
        <v>5621</v>
      </c>
      <c r="BE729" s="440">
        <f>BE205</f>
        <v>5461</v>
      </c>
      <c r="BF729" s="440">
        <f>BF205</f>
        <v>5301</v>
      </c>
      <c r="BG729" s="440">
        <f>BG205</f>
        <v>5141</v>
      </c>
      <c r="BH729" s="361"/>
    </row>
    <row r="730" spans="1:60" s="356" customFormat="1" hidden="1" outlineLevel="1" x14ac:dyDescent="0.25">
      <c r="A730" s="618" t="s">
        <v>680</v>
      </c>
      <c r="B730" s="450"/>
      <c r="C730" s="440">
        <v>7.9349999999999996</v>
      </c>
      <c r="D730" s="440">
        <v>12.551</v>
      </c>
      <c r="E730" s="440">
        <v>21.495000000000001</v>
      </c>
      <c r="F730" s="440">
        <v>223.745</v>
      </c>
      <c r="G730" s="439">
        <v>248.51900000000001</v>
      </c>
      <c r="H730" s="439">
        <v>267.97899999999998</v>
      </c>
      <c r="I730" s="439">
        <v>292.97000000000003</v>
      </c>
      <c r="J730" s="439">
        <f t="shared" ref="J730:J739" si="809">K730</f>
        <v>322.39400000000001</v>
      </c>
      <c r="K730" s="440">
        <v>322.39400000000001</v>
      </c>
      <c r="L730" s="439">
        <v>380.59699999999998</v>
      </c>
      <c r="M730" s="439">
        <v>468.15100000000001</v>
      </c>
      <c r="N730" s="439">
        <v>607.67700000000002</v>
      </c>
      <c r="O730" s="439">
        <f t="shared" ref="O730:O739" si="810">P730</f>
        <v>720.74599999999998</v>
      </c>
      <c r="P730" s="440">
        <v>720.74599999999998</v>
      </c>
      <c r="Q730" s="439">
        <v>819.79399999999998</v>
      </c>
      <c r="R730" s="439">
        <v>918.13400000000001</v>
      </c>
      <c r="S730" s="439">
        <v>1519.415</v>
      </c>
      <c r="T730" s="439">
        <f t="shared" ref="T730:T739" si="811">U730</f>
        <v>1694.91</v>
      </c>
      <c r="U730" s="440">
        <v>1694.91</v>
      </c>
      <c r="V730" s="439">
        <v>1831.771</v>
      </c>
      <c r="W730" s="439">
        <v>1931.1</v>
      </c>
      <c r="X730" s="439">
        <v>2004.316</v>
      </c>
      <c r="Y730" s="439">
        <f t="shared" si="802"/>
        <v>2154.3670000000002</v>
      </c>
      <c r="Z730" s="440">
        <v>2154.3670000000002</v>
      </c>
      <c r="AA730" s="439">
        <v>2358.1799999999998</v>
      </c>
      <c r="AB730" s="439">
        <v>2552.076</v>
      </c>
      <c r="AC730" s="439">
        <v>3671.297</v>
      </c>
      <c r="AD730" s="439">
        <f t="shared" si="803"/>
        <v>4251.7110000000002</v>
      </c>
      <c r="AE730" s="440">
        <v>4251.7110000000002</v>
      </c>
      <c r="AF730" s="439">
        <v>4532.8220000000001</v>
      </c>
      <c r="AG730" s="439">
        <v>5201.3490000000002</v>
      </c>
      <c r="AH730" s="439">
        <v>5950.0860000000002</v>
      </c>
      <c r="AI730" s="439">
        <f t="shared" si="804"/>
        <v>6328.9660000000003</v>
      </c>
      <c r="AJ730" s="440">
        <v>6328.9660000000003</v>
      </c>
      <c r="AK730" s="439">
        <v>6584.3069999999998</v>
      </c>
      <c r="AL730" s="439">
        <v>6919.8689999999997</v>
      </c>
      <c r="AM730" s="439">
        <v>7007</v>
      </c>
      <c r="AN730" s="439">
        <f t="shared" si="805"/>
        <v>7167</v>
      </c>
      <c r="AO730" s="440">
        <v>7167</v>
      </c>
      <c r="AP730" s="439">
        <v>7428</v>
      </c>
      <c r="AQ730" s="439">
        <v>7687</v>
      </c>
      <c r="AR730" s="439">
        <v>7943</v>
      </c>
      <c r="AS730" s="439">
        <f t="shared" si="806"/>
        <v>8493</v>
      </c>
      <c r="AT730" s="440">
        <v>8493</v>
      </c>
      <c r="AU730" s="439">
        <v>8711</v>
      </c>
      <c r="AV730" s="439">
        <v>9156</v>
      </c>
      <c r="AW730" s="726">
        <v>9458</v>
      </c>
      <c r="AX730" s="439"/>
      <c r="AY730" s="440">
        <f t="shared" si="807"/>
        <v>0</v>
      </c>
      <c r="AZ730" s="439"/>
      <c r="BA730" s="439"/>
      <c r="BB730" s="439"/>
      <c r="BC730" s="439"/>
      <c r="BD730" s="440">
        <f t="shared" si="808"/>
        <v>0</v>
      </c>
      <c r="BE730" s="440"/>
      <c r="BF730" s="440"/>
      <c r="BG730" s="440"/>
      <c r="BH730" s="361"/>
    </row>
    <row r="731" spans="1:60" s="356" customFormat="1" hidden="1" outlineLevel="1" x14ac:dyDescent="0.25">
      <c r="A731" s="618" t="s">
        <v>681</v>
      </c>
      <c r="B731" s="450"/>
      <c r="C731" s="440">
        <v>15.01</v>
      </c>
      <c r="D731" s="440">
        <v>15.913</v>
      </c>
      <c r="E731" s="440">
        <v>16.584</v>
      </c>
      <c r="F731" s="440">
        <v>172.584</v>
      </c>
      <c r="G731" s="439">
        <v>199.096</v>
      </c>
      <c r="H731" s="439">
        <v>211.79300000000001</v>
      </c>
      <c r="I731" s="439">
        <v>219.577</v>
      </c>
      <c r="J731" s="439">
        <f t="shared" si="809"/>
        <v>230.38499999999999</v>
      </c>
      <c r="K731" s="440">
        <v>230.38499999999999</v>
      </c>
      <c r="L731" s="439">
        <v>239.55699999999999</v>
      </c>
      <c r="M731" s="439">
        <v>253.101</v>
      </c>
      <c r="N731" s="439">
        <v>272.88099999999997</v>
      </c>
      <c r="O731" s="439">
        <f t="shared" si="810"/>
        <v>295.90600000000001</v>
      </c>
      <c r="P731" s="440">
        <v>295.90600000000001</v>
      </c>
      <c r="Q731" s="439">
        <v>308.08199999999999</v>
      </c>
      <c r="R731" s="439">
        <v>340.09</v>
      </c>
      <c r="S731" s="439">
        <v>439.41500000000002</v>
      </c>
      <c r="T731" s="439">
        <f t="shared" si="811"/>
        <v>550.90200000000004</v>
      </c>
      <c r="U731" s="440">
        <v>550.90200000000004</v>
      </c>
      <c r="V731" s="439">
        <v>641.53399999999999</v>
      </c>
      <c r="W731" s="439">
        <v>740.00800000000004</v>
      </c>
      <c r="X731" s="439">
        <v>780.14</v>
      </c>
      <c r="Y731" s="439">
        <f t="shared" si="802"/>
        <v>794.79300000000001</v>
      </c>
      <c r="Z731" s="440">
        <v>794.79300000000001</v>
      </c>
      <c r="AA731" s="439">
        <v>825.03599999999994</v>
      </c>
      <c r="AB731" s="439">
        <v>845.44399999999996</v>
      </c>
      <c r="AC731" s="439">
        <v>1112.4839999999999</v>
      </c>
      <c r="AD731" s="439">
        <f t="shared" si="803"/>
        <v>1255.952</v>
      </c>
      <c r="AE731" s="440">
        <v>1255.952</v>
      </c>
      <c r="AF731" s="439">
        <v>1299.296</v>
      </c>
      <c r="AG731" s="439">
        <v>1365.588</v>
      </c>
      <c r="AH731" s="439">
        <v>1384.3820000000001</v>
      </c>
      <c r="AI731" s="439">
        <f t="shared" si="804"/>
        <v>1397.5139999999999</v>
      </c>
      <c r="AJ731" s="440">
        <v>1397.5139999999999</v>
      </c>
      <c r="AK731" s="439">
        <v>1418.3679999999999</v>
      </c>
      <c r="AL731" s="439">
        <v>1463.5429999999999</v>
      </c>
      <c r="AM731" s="439">
        <v>1477</v>
      </c>
      <c r="AN731" s="439">
        <f t="shared" ref="AN731" si="812">AO731</f>
        <v>1493</v>
      </c>
      <c r="AO731" s="440">
        <v>1493</v>
      </c>
      <c r="AP731" s="439">
        <v>1574</v>
      </c>
      <c r="AQ731" s="439">
        <v>1711</v>
      </c>
      <c r="AR731" s="439">
        <v>1794</v>
      </c>
      <c r="AS731" s="439">
        <f t="shared" ref="AS731" si="813">AT731</f>
        <v>1811</v>
      </c>
      <c r="AT731" s="440">
        <v>1811</v>
      </c>
      <c r="AU731" s="439">
        <v>1916</v>
      </c>
      <c r="AV731" s="439">
        <v>2038</v>
      </c>
      <c r="AW731" s="726">
        <v>2120</v>
      </c>
      <c r="AX731" s="439"/>
      <c r="AY731" s="440">
        <f t="shared" si="807"/>
        <v>0</v>
      </c>
      <c r="AZ731" s="439"/>
      <c r="BA731" s="439"/>
      <c r="BB731" s="439"/>
      <c r="BC731" s="439"/>
      <c r="BD731" s="440">
        <f t="shared" si="808"/>
        <v>0</v>
      </c>
      <c r="BE731" s="440"/>
      <c r="BF731" s="440"/>
      <c r="BG731" s="440"/>
      <c r="BH731" s="361"/>
    </row>
    <row r="732" spans="1:60" s="356" customFormat="1" hidden="1" outlineLevel="1" x14ac:dyDescent="0.25">
      <c r="A732" s="618" t="s">
        <v>682</v>
      </c>
      <c r="B732" s="450"/>
      <c r="C732" s="440">
        <v>5.3250000000000002</v>
      </c>
      <c r="D732" s="440">
        <v>13.993</v>
      </c>
      <c r="E732" s="440">
        <v>27.901</v>
      </c>
      <c r="F732" s="440">
        <v>39.223999999999997</v>
      </c>
      <c r="G732" s="439">
        <v>50.814999999999998</v>
      </c>
      <c r="H732" s="439">
        <v>59.91</v>
      </c>
      <c r="I732" s="439">
        <v>74.396000000000001</v>
      </c>
      <c r="J732" s="439">
        <f t="shared" si="809"/>
        <v>94.763000000000005</v>
      </c>
      <c r="K732" s="440">
        <v>94.763000000000005</v>
      </c>
      <c r="L732" s="439">
        <v>117.521</v>
      </c>
      <c r="M732" s="439">
        <v>134.172</v>
      </c>
      <c r="N732" s="439">
        <v>165.82599999999999</v>
      </c>
      <c r="O732" s="439">
        <f t="shared" si="810"/>
        <v>230.27</v>
      </c>
      <c r="P732" s="440">
        <v>230.27</v>
      </c>
      <c r="Q732" s="439">
        <v>310.23500000000001</v>
      </c>
      <c r="R732" s="439">
        <v>339.39800000000002</v>
      </c>
      <c r="S732" s="439">
        <v>320.863</v>
      </c>
      <c r="T732" s="439">
        <f t="shared" si="811"/>
        <v>338.392</v>
      </c>
      <c r="U732" s="440">
        <v>338.392</v>
      </c>
      <c r="V732" s="439">
        <v>361.34100000000001</v>
      </c>
      <c r="W732" s="439">
        <v>389.154</v>
      </c>
      <c r="X732" s="439">
        <v>422.11</v>
      </c>
      <c r="Y732" s="439">
        <f t="shared" si="802"/>
        <v>505.29500000000002</v>
      </c>
      <c r="Z732" s="440">
        <v>505.29500000000002</v>
      </c>
      <c r="AA732" s="439">
        <v>559.84799999999996</v>
      </c>
      <c r="AB732" s="439">
        <v>669.41600000000005</v>
      </c>
      <c r="AC732" s="439">
        <v>716.01499999999999</v>
      </c>
      <c r="AD732" s="439">
        <f t="shared" si="803"/>
        <v>789.75099999999998</v>
      </c>
      <c r="AE732" s="440">
        <v>789.75099999999998</v>
      </c>
      <c r="AF732" s="439">
        <v>840.71799999999996</v>
      </c>
      <c r="AG732" s="439">
        <v>905.75900000000001</v>
      </c>
      <c r="AH732" s="439">
        <v>943.84799999999996</v>
      </c>
      <c r="AI732" s="439">
        <f t="shared" si="804"/>
        <v>960.971</v>
      </c>
      <c r="AJ732" s="440">
        <v>960.971</v>
      </c>
      <c r="AK732" s="439">
        <v>987.91600000000005</v>
      </c>
      <c r="AL732" s="439">
        <v>1010.893</v>
      </c>
      <c r="AM732" s="439">
        <v>1029</v>
      </c>
      <c r="AN732" s="439">
        <f t="shared" si="805"/>
        <v>1087</v>
      </c>
      <c r="AO732" s="440">
        <v>1087</v>
      </c>
      <c r="AP732" s="439">
        <v>1103</v>
      </c>
      <c r="AQ732" s="439">
        <v>1157</v>
      </c>
      <c r="AR732" s="439">
        <v>1291</v>
      </c>
      <c r="AS732" s="439">
        <f t="shared" si="806"/>
        <v>1421</v>
      </c>
      <c r="AT732" s="440">
        <v>1421</v>
      </c>
      <c r="AU732" s="439">
        <v>1494</v>
      </c>
      <c r="AV732" s="439">
        <v>1596</v>
      </c>
      <c r="AW732" s="726">
        <v>1706</v>
      </c>
      <c r="AX732" s="439"/>
      <c r="AY732" s="440">
        <f t="shared" si="807"/>
        <v>0</v>
      </c>
      <c r="AZ732" s="439"/>
      <c r="BA732" s="439"/>
      <c r="BB732" s="439"/>
      <c r="BC732" s="439"/>
      <c r="BD732" s="440">
        <f t="shared" si="808"/>
        <v>0</v>
      </c>
      <c r="BE732" s="440"/>
      <c r="BF732" s="440"/>
      <c r="BG732" s="440"/>
      <c r="BH732" s="361"/>
    </row>
    <row r="733" spans="1:60" s="356" customFormat="1" hidden="1" outlineLevel="1" x14ac:dyDescent="0.25">
      <c r="A733" s="450" t="s">
        <v>687</v>
      </c>
      <c r="B733" s="450"/>
      <c r="C733" s="440"/>
      <c r="D733" s="440"/>
      <c r="E733" s="440"/>
      <c r="F733" s="440">
        <v>50.573999999999998</v>
      </c>
      <c r="G733" s="439">
        <v>54.603000000000002</v>
      </c>
      <c r="H733" s="439">
        <v>58.491999999999997</v>
      </c>
      <c r="I733" s="439">
        <v>62.71</v>
      </c>
      <c r="J733" s="439">
        <f t="shared" si="809"/>
        <v>67.706999999999994</v>
      </c>
      <c r="K733" s="440">
        <v>67.706999999999994</v>
      </c>
      <c r="L733" s="439">
        <v>75.313999999999993</v>
      </c>
      <c r="M733" s="439">
        <v>85.888999999999996</v>
      </c>
      <c r="N733" s="439">
        <v>106.50700000000001</v>
      </c>
      <c r="O733" s="439">
        <f t="shared" si="810"/>
        <v>154.36199999999999</v>
      </c>
      <c r="P733" s="440">
        <v>154.36199999999999</v>
      </c>
      <c r="Q733" s="439">
        <v>198.024</v>
      </c>
      <c r="R733" s="439">
        <v>243.75</v>
      </c>
      <c r="S733" s="439">
        <v>336.21199999999999</v>
      </c>
      <c r="T733" s="439">
        <f t="shared" si="811"/>
        <v>461.303</v>
      </c>
      <c r="U733" s="440">
        <v>461.303</v>
      </c>
      <c r="V733" s="439">
        <v>490.55200000000002</v>
      </c>
      <c r="W733" s="439">
        <v>574.60299999999995</v>
      </c>
      <c r="X733" s="439">
        <v>706.11199999999997</v>
      </c>
      <c r="Y733" s="439">
        <f t="shared" si="802"/>
        <v>0</v>
      </c>
      <c r="Z733" s="440"/>
      <c r="AA733" s="439"/>
      <c r="AB733" s="439"/>
      <c r="AC733" s="439"/>
      <c r="AD733" s="439">
        <f t="shared" si="803"/>
        <v>0</v>
      </c>
      <c r="AE733" s="440"/>
      <c r="AF733" s="439"/>
      <c r="AG733" s="439"/>
      <c r="AH733" s="439"/>
      <c r="AI733" s="439">
        <f t="shared" si="804"/>
        <v>0</v>
      </c>
      <c r="AJ733" s="440"/>
      <c r="AK733" s="439"/>
      <c r="AL733" s="439"/>
      <c r="AM733" s="439"/>
      <c r="AN733" s="439">
        <f t="shared" ref="AN733" si="814">AO733</f>
        <v>0</v>
      </c>
      <c r="AO733" s="440"/>
      <c r="AP733" s="439"/>
      <c r="AQ733" s="439"/>
      <c r="AR733" s="439"/>
      <c r="AS733" s="439">
        <f t="shared" ref="AS733" si="815">AT733</f>
        <v>0</v>
      </c>
      <c r="AT733" s="440"/>
      <c r="AU733" s="439"/>
      <c r="AV733" s="439"/>
      <c r="AW733" s="726"/>
      <c r="AX733" s="439"/>
      <c r="AY733" s="440">
        <f t="shared" si="807"/>
        <v>0</v>
      </c>
      <c r="AZ733" s="439"/>
      <c r="BA733" s="439"/>
      <c r="BB733" s="439"/>
      <c r="BC733" s="439"/>
      <c r="BD733" s="440">
        <f t="shared" si="808"/>
        <v>0</v>
      </c>
      <c r="BE733" s="440"/>
      <c r="BF733" s="440"/>
      <c r="BG733" s="440"/>
      <c r="BH733" s="361"/>
    </row>
    <row r="734" spans="1:60" s="356" customFormat="1" hidden="1" outlineLevel="1" x14ac:dyDescent="0.25">
      <c r="A734" s="527" t="s">
        <v>688</v>
      </c>
      <c r="B734" s="527"/>
      <c r="C734" s="479"/>
      <c r="D734" s="479">
        <v>26.390999999999998</v>
      </c>
      <c r="E734" s="479">
        <v>26.390999999999998</v>
      </c>
      <c r="F734" s="479">
        <v>26.390999999999998</v>
      </c>
      <c r="G734" s="459">
        <v>26.390999999999998</v>
      </c>
      <c r="H734" s="459">
        <v>26.402000000000001</v>
      </c>
      <c r="I734" s="459">
        <v>45.02</v>
      </c>
      <c r="J734" s="459">
        <f t="shared" si="809"/>
        <v>45.02</v>
      </c>
      <c r="K734" s="479">
        <v>45.02</v>
      </c>
      <c r="L734" s="459">
        <v>45.02</v>
      </c>
      <c r="M734" s="459">
        <v>45.029000000000003</v>
      </c>
      <c r="N734" s="459">
        <v>45.201000000000001</v>
      </c>
      <c r="O734" s="459">
        <f t="shared" si="810"/>
        <v>49.478000000000002</v>
      </c>
      <c r="P734" s="479">
        <v>49.478000000000002</v>
      </c>
      <c r="Q734" s="459">
        <v>51.99</v>
      </c>
      <c r="R734" s="459">
        <v>52.115000000000002</v>
      </c>
      <c r="S734" s="459">
        <v>60.232999999999997</v>
      </c>
      <c r="T734" s="459">
        <f t="shared" si="811"/>
        <v>60.234000000000002</v>
      </c>
      <c r="U734" s="479">
        <v>60.234000000000002</v>
      </c>
      <c r="V734" s="459">
        <v>60.225999999999999</v>
      </c>
      <c r="W734" s="459">
        <v>60.238</v>
      </c>
      <c r="X734" s="459">
        <v>63.238</v>
      </c>
      <c r="Y734" s="459">
        <f t="shared" si="802"/>
        <v>0</v>
      </c>
      <c r="Z734" s="479"/>
      <c r="AA734" s="459"/>
      <c r="AB734" s="459"/>
      <c r="AC734" s="459"/>
      <c r="AD734" s="459">
        <f t="shared" si="803"/>
        <v>0</v>
      </c>
      <c r="AE734" s="479"/>
      <c r="AF734" s="459"/>
      <c r="AG734" s="459"/>
      <c r="AH734" s="459"/>
      <c r="AI734" s="459">
        <f t="shared" si="804"/>
        <v>0</v>
      </c>
      <c r="AJ734" s="479"/>
      <c r="AK734" s="459"/>
      <c r="AL734" s="459"/>
      <c r="AM734" s="459"/>
      <c r="AN734" s="459">
        <f t="shared" si="805"/>
        <v>0</v>
      </c>
      <c r="AO734" s="479"/>
      <c r="AP734" s="459"/>
      <c r="AQ734" s="459"/>
      <c r="AR734" s="459"/>
      <c r="AS734" s="459">
        <f t="shared" si="806"/>
        <v>0</v>
      </c>
      <c r="AT734" s="479"/>
      <c r="AU734" s="459"/>
      <c r="AV734" s="459"/>
      <c r="AW734" s="723"/>
      <c r="AX734" s="459"/>
      <c r="AY734" s="479">
        <f t="shared" si="807"/>
        <v>0</v>
      </c>
      <c r="AZ734" s="459"/>
      <c r="BA734" s="459"/>
      <c r="BB734" s="459"/>
      <c r="BC734" s="459"/>
      <c r="BD734" s="479">
        <f t="shared" si="808"/>
        <v>0</v>
      </c>
      <c r="BE734" s="479"/>
      <c r="BF734" s="479"/>
      <c r="BG734" s="479"/>
      <c r="BH734" s="361"/>
    </row>
    <row r="735" spans="1:60" s="356" customFormat="1" hidden="1" outlineLevel="1" x14ac:dyDescent="0.25">
      <c r="A735" s="618" t="s">
        <v>683</v>
      </c>
      <c r="B735" s="450"/>
      <c r="C735" s="440">
        <f t="shared" ref="C735:F735" si="816">SUM(C733:C734)</f>
        <v>0</v>
      </c>
      <c r="D735" s="440">
        <f t="shared" si="816"/>
        <v>26.390999999999998</v>
      </c>
      <c r="E735" s="440">
        <f t="shared" si="816"/>
        <v>26.390999999999998</v>
      </c>
      <c r="F735" s="440">
        <f t="shared" si="816"/>
        <v>76.965000000000003</v>
      </c>
      <c r="G735" s="439">
        <f>SUM(G733:G734)</f>
        <v>80.994</v>
      </c>
      <c r="H735" s="439">
        <f>SUM(H733:H734)</f>
        <v>84.894000000000005</v>
      </c>
      <c r="I735" s="439">
        <f>SUM(I733:I734)</f>
        <v>107.73</v>
      </c>
      <c r="J735" s="439">
        <f t="shared" si="809"/>
        <v>112.727</v>
      </c>
      <c r="K735" s="440">
        <f>SUM(K733:K734)</f>
        <v>112.727</v>
      </c>
      <c r="L735" s="439">
        <f>SUM(L733:L734)</f>
        <v>120.334</v>
      </c>
      <c r="M735" s="439">
        <f>SUM(M733:M734)</f>
        <v>130.91800000000001</v>
      </c>
      <c r="N735" s="439">
        <f>SUM(N733:N734)</f>
        <v>151.708</v>
      </c>
      <c r="O735" s="439">
        <f t="shared" si="810"/>
        <v>203.84</v>
      </c>
      <c r="P735" s="440">
        <f>SUM(P733:P734)</f>
        <v>203.84</v>
      </c>
      <c r="Q735" s="439">
        <f>SUM(Q733:Q734)</f>
        <v>250.01400000000001</v>
      </c>
      <c r="R735" s="439">
        <f>SUM(R733:R734)</f>
        <v>295.86500000000001</v>
      </c>
      <c r="S735" s="439">
        <f>SUM(S733:S734)</f>
        <v>396.44499999999999</v>
      </c>
      <c r="T735" s="439">
        <f t="shared" si="811"/>
        <v>521.53700000000003</v>
      </c>
      <c r="U735" s="440">
        <f>SUM(U733:U734)</f>
        <v>521.53700000000003</v>
      </c>
      <c r="V735" s="439">
        <f>SUM(V733:V734)</f>
        <v>550.77800000000002</v>
      </c>
      <c r="W735" s="439">
        <f>SUM(W733:W734)</f>
        <v>634.84099999999989</v>
      </c>
      <c r="X735" s="439">
        <f>SUM(X733:X734)</f>
        <v>769.34999999999991</v>
      </c>
      <c r="Y735" s="439">
        <f t="shared" si="802"/>
        <v>1079.452</v>
      </c>
      <c r="Z735" s="440">
        <v>1079.452</v>
      </c>
      <c r="AA735" s="439">
        <v>1213.191</v>
      </c>
      <c r="AB735" s="439">
        <v>1390.6220000000001</v>
      </c>
      <c r="AC735" s="439">
        <v>1557.6969999999999</v>
      </c>
      <c r="AD735" s="439">
        <f t="shared" si="803"/>
        <v>2517.2469999999998</v>
      </c>
      <c r="AE735" s="440">
        <v>2517.2469999999998</v>
      </c>
      <c r="AF735" s="439">
        <v>3808.17</v>
      </c>
      <c r="AG735" s="439">
        <v>3904.8539999999998</v>
      </c>
      <c r="AH735" s="439">
        <v>3995.9920000000002</v>
      </c>
      <c r="AI735" s="439">
        <f t="shared" si="804"/>
        <v>4047.0059999999999</v>
      </c>
      <c r="AJ735" s="440">
        <v>4047.0059999999999</v>
      </c>
      <c r="AK735" s="439">
        <v>2631.607</v>
      </c>
      <c r="AL735" s="439">
        <v>2839.7460000000001</v>
      </c>
      <c r="AM735" s="439">
        <v>2956</v>
      </c>
      <c r="AN735" s="439">
        <f t="shared" ref="AN735" si="817">AO735</f>
        <v>3024</v>
      </c>
      <c r="AO735" s="440">
        <v>3024</v>
      </c>
      <c r="AP735" s="439">
        <v>3146</v>
      </c>
      <c r="AQ735" s="439">
        <v>3172</v>
      </c>
      <c r="AR735" s="439">
        <v>3245</v>
      </c>
      <c r="AS735" s="439">
        <f t="shared" ref="AS735" si="818">AT735</f>
        <v>3662</v>
      </c>
      <c r="AT735" s="440">
        <v>3662</v>
      </c>
      <c r="AU735" s="439">
        <v>3681</v>
      </c>
      <c r="AV735" s="439">
        <v>3725</v>
      </c>
      <c r="AW735" s="726">
        <v>3853</v>
      </c>
      <c r="AX735" s="439"/>
      <c r="AY735" s="440">
        <f t="shared" si="807"/>
        <v>0</v>
      </c>
      <c r="AZ735" s="439"/>
      <c r="BA735" s="439"/>
      <c r="BB735" s="439"/>
      <c r="BC735" s="439"/>
      <c r="BD735" s="440">
        <f t="shared" si="808"/>
        <v>0</v>
      </c>
      <c r="BE735" s="440"/>
      <c r="BF735" s="440"/>
      <c r="BG735" s="440"/>
      <c r="BH735" s="361"/>
    </row>
    <row r="736" spans="1:60" s="356" customFormat="1" hidden="1" outlineLevel="1" x14ac:dyDescent="0.25">
      <c r="A736" s="618" t="s">
        <v>684</v>
      </c>
      <c r="B736" s="450"/>
      <c r="C736" s="440">
        <v>5.3760000000000003</v>
      </c>
      <c r="D736" s="440">
        <v>8.8640000000000008</v>
      </c>
      <c r="E736" s="440">
        <v>10.804</v>
      </c>
      <c r="F736" s="440">
        <v>22.125</v>
      </c>
      <c r="G736" s="439">
        <v>26.012</v>
      </c>
      <c r="H736" s="439">
        <v>28.885999999999999</v>
      </c>
      <c r="I736" s="439">
        <v>32.280999999999999</v>
      </c>
      <c r="J736" s="439">
        <f t="shared" si="809"/>
        <v>42.073</v>
      </c>
      <c r="K736" s="440">
        <v>42.073</v>
      </c>
      <c r="L736" s="439">
        <v>50.210999999999999</v>
      </c>
      <c r="M736" s="439">
        <v>60.91</v>
      </c>
      <c r="N736" s="439">
        <v>81.003</v>
      </c>
      <c r="O736" s="439">
        <f t="shared" si="810"/>
        <v>98.97</v>
      </c>
      <c r="P736" s="440">
        <v>98.97</v>
      </c>
      <c r="Q736" s="439">
        <v>114.824</v>
      </c>
      <c r="R736" s="439">
        <v>129.143</v>
      </c>
      <c r="S736" s="439">
        <v>153.39599999999999</v>
      </c>
      <c r="T736" s="439">
        <f t="shared" si="811"/>
        <v>175.512</v>
      </c>
      <c r="U736" s="440">
        <v>175.512</v>
      </c>
      <c r="V736" s="439">
        <v>193.97399999999999</v>
      </c>
      <c r="W736" s="439">
        <v>205.92599999999999</v>
      </c>
      <c r="X736" s="439">
        <v>218.07900000000001</v>
      </c>
      <c r="Y736" s="439">
        <f t="shared" si="802"/>
        <v>275.65499999999997</v>
      </c>
      <c r="Z736" s="440">
        <v>275.65499999999997</v>
      </c>
      <c r="AA736" s="439">
        <v>301.911</v>
      </c>
      <c r="AB736" s="439">
        <v>335.85700000000003</v>
      </c>
      <c r="AC736" s="439">
        <v>360.53300000000002</v>
      </c>
      <c r="AD736" s="439">
        <f t="shared" si="803"/>
        <v>395.06700000000001</v>
      </c>
      <c r="AE736" s="440">
        <v>395.06700000000001</v>
      </c>
      <c r="AF736" s="439">
        <v>426.173</v>
      </c>
      <c r="AG736" s="439">
        <v>446.959</v>
      </c>
      <c r="AH736" s="439">
        <v>463.19</v>
      </c>
      <c r="AI736" s="439">
        <f t="shared" si="804"/>
        <v>487.42099999999999</v>
      </c>
      <c r="AJ736" s="440">
        <v>487.42099999999999</v>
      </c>
      <c r="AK736" s="439">
        <v>525.13800000000003</v>
      </c>
      <c r="AL736" s="439">
        <v>553.26499999999999</v>
      </c>
      <c r="AM736" s="439">
        <v>549</v>
      </c>
      <c r="AN736" s="439">
        <f t="shared" si="805"/>
        <v>595</v>
      </c>
      <c r="AO736" s="440">
        <v>595</v>
      </c>
      <c r="AP736" s="439">
        <v>647</v>
      </c>
      <c r="AQ736" s="439">
        <v>700</v>
      </c>
      <c r="AR736" s="439">
        <v>782</v>
      </c>
      <c r="AS736" s="439">
        <f t="shared" si="806"/>
        <v>856</v>
      </c>
      <c r="AT736" s="440">
        <v>856</v>
      </c>
      <c r="AU736" s="439">
        <v>1020</v>
      </c>
      <c r="AV736" s="439">
        <v>1148</v>
      </c>
      <c r="AW736" s="726">
        <v>1284</v>
      </c>
      <c r="AX736" s="439"/>
      <c r="AY736" s="440">
        <f t="shared" si="807"/>
        <v>0</v>
      </c>
      <c r="AZ736" s="439"/>
      <c r="BA736" s="439"/>
      <c r="BB736" s="439"/>
      <c r="BC736" s="439"/>
      <c r="BD736" s="440">
        <f t="shared" si="808"/>
        <v>0</v>
      </c>
      <c r="BE736" s="440"/>
      <c r="BF736" s="440"/>
      <c r="BG736" s="440"/>
      <c r="BH736" s="361"/>
    </row>
    <row r="737" spans="1:60" s="356" customFormat="1" hidden="1" outlineLevel="1" x14ac:dyDescent="0.25">
      <c r="A737" s="618" t="s">
        <v>685</v>
      </c>
      <c r="B737" s="450"/>
      <c r="C737" s="440">
        <v>2.6190000000000002</v>
      </c>
      <c r="D737" s="440">
        <v>58.917000000000002</v>
      </c>
      <c r="E737" s="440">
        <v>227.46100000000001</v>
      </c>
      <c r="F737" s="440">
        <v>75.129000000000005</v>
      </c>
      <c r="G737" s="439">
        <v>51.494</v>
      </c>
      <c r="H737" s="439">
        <v>37.082000000000001</v>
      </c>
      <c r="I737" s="439">
        <v>43.91</v>
      </c>
      <c r="J737" s="439">
        <f t="shared" si="809"/>
        <v>76.293999999999997</v>
      </c>
      <c r="K737" s="440">
        <v>76.293999999999997</v>
      </c>
      <c r="L737" s="439">
        <v>110.504</v>
      </c>
      <c r="M737" s="439">
        <v>193.26</v>
      </c>
      <c r="N737" s="439">
        <v>368.678</v>
      </c>
      <c r="O737" s="439">
        <f t="shared" si="810"/>
        <v>572.125</v>
      </c>
      <c r="P737" s="440">
        <v>572.125</v>
      </c>
      <c r="Q737" s="439">
        <v>763.62800000000004</v>
      </c>
      <c r="R737" s="439">
        <v>1027.2560000000001</v>
      </c>
      <c r="S737" s="439">
        <v>747.04600000000005</v>
      </c>
      <c r="T737" s="439">
        <f t="shared" si="811"/>
        <v>693.20699999999999</v>
      </c>
      <c r="U737" s="440">
        <v>693.20699999999999</v>
      </c>
      <c r="V737" s="439">
        <v>686.70500000000004</v>
      </c>
      <c r="W737" s="439">
        <v>876.20699999999999</v>
      </c>
      <c r="X737" s="439">
        <v>1027.1590000000001</v>
      </c>
      <c r="Y737" s="439">
        <f t="shared" si="802"/>
        <v>2147.3319999999999</v>
      </c>
      <c r="Z737" s="440">
        <v>2147.3319999999999</v>
      </c>
      <c r="AA737" s="439">
        <v>2899.5569999999998</v>
      </c>
      <c r="AB737" s="439">
        <v>3919.4229999999998</v>
      </c>
      <c r="AC737" s="439">
        <v>3488.0459999999998</v>
      </c>
      <c r="AD737" s="439">
        <f t="shared" si="803"/>
        <v>2541.5880000000002</v>
      </c>
      <c r="AE737" s="440">
        <v>2541.5880000000002</v>
      </c>
      <c r="AF737" s="439">
        <v>1604.595</v>
      </c>
      <c r="AG737" s="439">
        <v>1333.5619999999999</v>
      </c>
      <c r="AH737" s="439">
        <v>963.13599999999997</v>
      </c>
      <c r="AI737" s="439">
        <f t="shared" si="804"/>
        <v>807.29700000000003</v>
      </c>
      <c r="AJ737" s="440">
        <v>807.29700000000003</v>
      </c>
      <c r="AK737" s="439">
        <v>622.17999999999995</v>
      </c>
      <c r="AL737" s="439">
        <v>543.452</v>
      </c>
      <c r="AM737" s="439">
        <v>700</v>
      </c>
      <c r="AN737" s="439">
        <f t="shared" ref="AN737" si="819">AO737</f>
        <v>764</v>
      </c>
      <c r="AO737" s="440">
        <v>764</v>
      </c>
      <c r="AP737" s="439">
        <v>812</v>
      </c>
      <c r="AQ737" s="439">
        <v>1012</v>
      </c>
      <c r="AR737" s="439">
        <v>1607</v>
      </c>
      <c r="AS737" s="439">
        <f t="shared" ref="AS737" si="820">AT737</f>
        <v>1621</v>
      </c>
      <c r="AT737" s="440">
        <v>1621</v>
      </c>
      <c r="AU737" s="439">
        <v>2435</v>
      </c>
      <c r="AV737" s="439">
        <v>3826</v>
      </c>
      <c r="AW737" s="726">
        <v>5109</v>
      </c>
      <c r="AX737" s="439"/>
      <c r="AY737" s="440">
        <f t="shared" si="807"/>
        <v>0</v>
      </c>
      <c r="AZ737" s="439"/>
      <c r="BA737" s="439"/>
      <c r="BB737" s="439"/>
      <c r="BC737" s="439"/>
      <c r="BD737" s="440">
        <f t="shared" si="808"/>
        <v>0</v>
      </c>
      <c r="BE737" s="440"/>
      <c r="BF737" s="440"/>
      <c r="BG737" s="440"/>
      <c r="BH737" s="361"/>
    </row>
    <row r="738" spans="1:60" s="356" customFormat="1" hidden="1" outlineLevel="1" x14ac:dyDescent="0.25">
      <c r="A738" s="618" t="s">
        <v>185</v>
      </c>
      <c r="B738" s="450"/>
      <c r="C738" s="440"/>
      <c r="D738" s="440"/>
      <c r="E738" s="440"/>
      <c r="F738" s="440"/>
      <c r="G738" s="439"/>
      <c r="H738" s="439"/>
      <c r="I738" s="439"/>
      <c r="J738" s="439">
        <f t="shared" si="809"/>
        <v>0</v>
      </c>
      <c r="K738" s="440"/>
      <c r="L738" s="439"/>
      <c r="M738" s="439"/>
      <c r="N738" s="439"/>
      <c r="O738" s="439">
        <f t="shared" si="810"/>
        <v>0</v>
      </c>
      <c r="P738" s="440"/>
      <c r="Q738" s="439"/>
      <c r="R738" s="439"/>
      <c r="S738" s="439"/>
      <c r="T738" s="439">
        <f t="shared" si="811"/>
        <v>0</v>
      </c>
      <c r="U738" s="440"/>
      <c r="V738" s="439"/>
      <c r="W738" s="439"/>
      <c r="X738" s="439"/>
      <c r="Y738" s="439">
        <f t="shared" si="802"/>
        <v>23.547999999999998</v>
      </c>
      <c r="Z738" s="440">
        <v>23.547999999999998</v>
      </c>
      <c r="AA738" s="439">
        <v>23.771000000000001</v>
      </c>
      <c r="AB738" s="439">
        <v>23.802</v>
      </c>
      <c r="AC738" s="439">
        <v>23.885999999999999</v>
      </c>
      <c r="AD738" s="439">
        <f t="shared" si="803"/>
        <v>0</v>
      </c>
      <c r="AE738" s="440"/>
      <c r="AF738" s="439"/>
      <c r="AG738" s="439"/>
      <c r="AH738" s="439"/>
      <c r="AI738" s="439">
        <f t="shared" si="804"/>
        <v>0</v>
      </c>
      <c r="AJ738" s="440"/>
      <c r="AK738" s="439"/>
      <c r="AL738" s="439"/>
      <c r="AM738" s="439"/>
      <c r="AN738" s="439">
        <f t="shared" ref="AN738" si="821">AO738</f>
        <v>0</v>
      </c>
      <c r="AO738" s="440"/>
      <c r="AP738" s="439"/>
      <c r="AQ738" s="439"/>
      <c r="AR738" s="439"/>
      <c r="AS738" s="439">
        <f t="shared" ref="AS738" si="822">AT738</f>
        <v>0</v>
      </c>
      <c r="AT738" s="440"/>
      <c r="AU738" s="439"/>
      <c r="AV738" s="439"/>
      <c r="AW738" s="726"/>
      <c r="AX738" s="439"/>
      <c r="AY738" s="440">
        <f t="shared" si="807"/>
        <v>0</v>
      </c>
      <c r="AZ738" s="439"/>
      <c r="BA738" s="439"/>
      <c r="BB738" s="439"/>
      <c r="BC738" s="439"/>
      <c r="BD738" s="440">
        <f t="shared" si="808"/>
        <v>0</v>
      </c>
      <c r="BE738" s="440"/>
      <c r="BF738" s="440"/>
      <c r="BG738" s="440"/>
      <c r="BH738" s="361"/>
    </row>
    <row r="739" spans="1:60" s="356" customFormat="1" hidden="1" outlineLevel="1" x14ac:dyDescent="0.25">
      <c r="A739" s="619" t="s">
        <v>686</v>
      </c>
      <c r="B739" s="527"/>
      <c r="C739" s="479">
        <v>-12.73</v>
      </c>
      <c r="D739" s="479">
        <v>-21.992999999999999</v>
      </c>
      <c r="E739" s="479">
        <v>-32.222000000000001</v>
      </c>
      <c r="F739" s="479">
        <v>-57.542999999999999</v>
      </c>
      <c r="G739" s="459">
        <v>-74.933000000000007</v>
      </c>
      <c r="H739" s="459">
        <v>-94.965000000000003</v>
      </c>
      <c r="I739" s="459">
        <v>-116.38200000000001</v>
      </c>
      <c r="J739" s="459">
        <f t="shared" si="809"/>
        <v>-140.142</v>
      </c>
      <c r="K739" s="479">
        <v>-140.142</v>
      </c>
      <c r="L739" s="459">
        <v>-169.33500000000001</v>
      </c>
      <c r="M739" s="459">
        <v>-204.69</v>
      </c>
      <c r="N739" s="459">
        <v>-243.447</v>
      </c>
      <c r="O739" s="459">
        <f t="shared" si="810"/>
        <v>-292.58999999999997</v>
      </c>
      <c r="P739" s="479">
        <v>-292.58999999999997</v>
      </c>
      <c r="Q739" s="459">
        <v>-342.38600000000002</v>
      </c>
      <c r="R739" s="459">
        <v>-403.86900000000003</v>
      </c>
      <c r="S739" s="459">
        <v>-472.76900000000001</v>
      </c>
      <c r="T739" s="459">
        <f t="shared" si="811"/>
        <v>-571.12599999999998</v>
      </c>
      <c r="U739" s="479">
        <v>-571.12599999999998</v>
      </c>
      <c r="V739" s="459">
        <v>-673.08900000000006</v>
      </c>
      <c r="W739" s="459">
        <v>-783.98599999999999</v>
      </c>
      <c r="X739" s="459">
        <v>-912.10599999999999</v>
      </c>
      <c r="Y739" s="459">
        <f t="shared" si="802"/>
        <v>-997.48500000000001</v>
      </c>
      <c r="Z739" s="479">
        <v>-997.48500000000001</v>
      </c>
      <c r="AA739" s="459">
        <v>-1164.943</v>
      </c>
      <c r="AB739" s="459">
        <v>-1337.4110000000001</v>
      </c>
      <c r="AC739" s="459">
        <v>-1535.5609999999999</v>
      </c>
      <c r="AD739" s="459">
        <f t="shared" si="803"/>
        <v>-1723.7940000000001</v>
      </c>
      <c r="AE739" s="479">
        <v>-1723.7940000000001</v>
      </c>
      <c r="AF739" s="459">
        <v>-1992.548</v>
      </c>
      <c r="AG739" s="459">
        <v>-2188.723</v>
      </c>
      <c r="AH739" s="459">
        <v>-2454.3389999999999</v>
      </c>
      <c r="AI739" s="459">
        <f t="shared" si="804"/>
        <v>-2699.098</v>
      </c>
      <c r="AJ739" s="479">
        <v>-2699.098</v>
      </c>
      <c r="AK739" s="459">
        <v>-2918.587</v>
      </c>
      <c r="AL739" s="459">
        <v>-3248.31</v>
      </c>
      <c r="AM739" s="459">
        <v>-3528</v>
      </c>
      <c r="AN739" s="459">
        <f t="shared" si="805"/>
        <v>-3734</v>
      </c>
      <c r="AO739" s="479">
        <v>-3734</v>
      </c>
      <c r="AP739" s="459">
        <v>-4072</v>
      </c>
      <c r="AQ739" s="459">
        <v>-4430</v>
      </c>
      <c r="AR739" s="459">
        <v>-4814</v>
      </c>
      <c r="AS739" s="459">
        <f t="shared" si="806"/>
        <v>-5117</v>
      </c>
      <c r="AT739" s="479">
        <v>-5117</v>
      </c>
      <c r="AU739" s="459">
        <v>-5389</v>
      </c>
      <c r="AV739" s="459">
        <v>-5824</v>
      </c>
      <c r="AW739" s="723">
        <v>-6232</v>
      </c>
      <c r="AX739" s="459"/>
      <c r="AY739" s="479">
        <f t="shared" si="807"/>
        <v>0</v>
      </c>
      <c r="AZ739" s="459"/>
      <c r="BA739" s="459"/>
      <c r="BB739" s="459"/>
      <c r="BC739" s="459"/>
      <c r="BD739" s="479">
        <f t="shared" si="808"/>
        <v>0</v>
      </c>
      <c r="BE739" s="479"/>
      <c r="BF739" s="479"/>
      <c r="BG739" s="479"/>
      <c r="BH739" s="361"/>
    </row>
    <row r="740" spans="1:60" s="356" customFormat="1" collapsed="1" x14ac:dyDescent="0.25">
      <c r="A740" s="526" t="s">
        <v>264</v>
      </c>
      <c r="B740" s="450"/>
      <c r="C740" s="440">
        <f t="shared" ref="C740:AU740" si="823">SUM(C735:C739)+SUM(C730:C732)</f>
        <v>23.535</v>
      </c>
      <c r="D740" s="440">
        <f t="shared" si="823"/>
        <v>114.636</v>
      </c>
      <c r="E740" s="440">
        <f t="shared" si="823"/>
        <v>298.41399999999999</v>
      </c>
      <c r="F740" s="440">
        <f t="shared" si="823"/>
        <v>552.22900000000004</v>
      </c>
      <c r="G740" s="439">
        <f t="shared" si="823"/>
        <v>581.99699999999996</v>
      </c>
      <c r="H740" s="439">
        <f t="shared" si="823"/>
        <v>595.57899999999995</v>
      </c>
      <c r="I740" s="439">
        <f t="shared" si="823"/>
        <v>654.48199999999997</v>
      </c>
      <c r="J740" s="439">
        <f t="shared" si="823"/>
        <v>738.49400000000003</v>
      </c>
      <c r="K740" s="440">
        <f t="shared" si="823"/>
        <v>738.49400000000003</v>
      </c>
      <c r="L740" s="439">
        <f t="shared" si="823"/>
        <v>849.38900000000001</v>
      </c>
      <c r="M740" s="439">
        <f t="shared" si="823"/>
        <v>1035.8219999999999</v>
      </c>
      <c r="N740" s="439">
        <f t="shared" si="823"/>
        <v>1404.326</v>
      </c>
      <c r="O740" s="439">
        <f t="shared" si="823"/>
        <v>1829.2670000000001</v>
      </c>
      <c r="P740" s="440">
        <f t="shared" si="823"/>
        <v>1829.2670000000001</v>
      </c>
      <c r="Q740" s="439">
        <f t="shared" si="823"/>
        <v>2224.1909999999998</v>
      </c>
      <c r="R740" s="439">
        <f t="shared" si="823"/>
        <v>2646.0169999999998</v>
      </c>
      <c r="S740" s="439">
        <f t="shared" si="823"/>
        <v>3103.8109999999997</v>
      </c>
      <c r="T740" s="439">
        <f t="shared" si="823"/>
        <v>3403.3339999999998</v>
      </c>
      <c r="U740" s="440">
        <f t="shared" si="823"/>
        <v>3403.3339999999998</v>
      </c>
      <c r="V740" s="439">
        <f t="shared" si="823"/>
        <v>3593.0139999999997</v>
      </c>
      <c r="W740" s="439">
        <f t="shared" si="823"/>
        <v>3993.25</v>
      </c>
      <c r="X740" s="439">
        <f t="shared" si="823"/>
        <v>4309.0480000000007</v>
      </c>
      <c r="Y740" s="439">
        <f t="shared" si="823"/>
        <v>5982.9570000000003</v>
      </c>
      <c r="Z740" s="440">
        <f t="shared" si="823"/>
        <v>5982.9570000000003</v>
      </c>
      <c r="AA740" s="439">
        <f t="shared" si="823"/>
        <v>7016.5509999999995</v>
      </c>
      <c r="AB740" s="439">
        <f t="shared" si="823"/>
        <v>8399.2289999999994</v>
      </c>
      <c r="AC740" s="439">
        <f t="shared" si="823"/>
        <v>9394.3970000000008</v>
      </c>
      <c r="AD740" s="439">
        <f t="shared" si="823"/>
        <v>10027.522000000001</v>
      </c>
      <c r="AE740" s="440">
        <f t="shared" si="823"/>
        <v>10027.522000000001</v>
      </c>
      <c r="AF740" s="439">
        <f t="shared" si="823"/>
        <v>10519.226000000001</v>
      </c>
      <c r="AG740" s="439">
        <f t="shared" si="823"/>
        <v>10969.348</v>
      </c>
      <c r="AH740" s="439">
        <f t="shared" si="823"/>
        <v>11246.295</v>
      </c>
      <c r="AI740" s="439">
        <f t="shared" si="823"/>
        <v>11330.077000000001</v>
      </c>
      <c r="AJ740" s="440">
        <f t="shared" si="823"/>
        <v>11330.077000000001</v>
      </c>
      <c r="AK740" s="439">
        <f t="shared" si="823"/>
        <v>9850.9289999999983</v>
      </c>
      <c r="AL740" s="439">
        <f t="shared" si="823"/>
        <v>10082.458000000001</v>
      </c>
      <c r="AM740" s="439">
        <f t="shared" si="823"/>
        <v>10190</v>
      </c>
      <c r="AN740" s="439">
        <f t="shared" si="823"/>
        <v>10396</v>
      </c>
      <c r="AO740" s="440">
        <f t="shared" si="823"/>
        <v>10396</v>
      </c>
      <c r="AP740" s="439">
        <f t="shared" si="823"/>
        <v>10638</v>
      </c>
      <c r="AQ740" s="439">
        <f t="shared" si="823"/>
        <v>11009</v>
      </c>
      <c r="AR740" s="439">
        <f t="shared" si="823"/>
        <v>11848</v>
      </c>
      <c r="AS740" s="439">
        <f t="shared" si="823"/>
        <v>12747</v>
      </c>
      <c r="AT740" s="440">
        <f t="shared" si="823"/>
        <v>12747</v>
      </c>
      <c r="AU740" s="439">
        <f t="shared" si="823"/>
        <v>13868</v>
      </c>
      <c r="AV740" s="439">
        <f>SUM(AV735:AV739)+SUM(AV730:AV732)</f>
        <v>15665</v>
      </c>
      <c r="AW740" s="726">
        <f>SUM(AW735:AW739)+SUM(AW730:AW732)</f>
        <v>17298</v>
      </c>
      <c r="AX740" s="439">
        <f>AW740-AX629-AX630+AX694+AX693-AX297</f>
        <v>17698.793643835616</v>
      </c>
      <c r="AY740" s="440">
        <f t="shared" si="807"/>
        <v>17698.793643835616</v>
      </c>
      <c r="AZ740" s="439">
        <f>AY740-AZ629-AZ630+AZ694+AZ693-AZ297</f>
        <v>18399.001158761494</v>
      </c>
      <c r="BA740" s="439">
        <f>AZ740-BA629-BA630+BA694+BA693-BA297</f>
        <v>19066.864664816676</v>
      </c>
      <c r="BB740" s="439">
        <f>BA740-BB629-BB630+BB694+BB693-BB297</f>
        <v>19703.009939806663</v>
      </c>
      <c r="BC740" s="439">
        <f>BB740-BC629-BC630+BC694+BC693-BC297</f>
        <v>20315.905412143591</v>
      </c>
      <c r="BD740" s="440">
        <f t="shared" si="808"/>
        <v>20315.905412143591</v>
      </c>
      <c r="BE740" s="440">
        <f>BD740-BE629-BE630+BE694+BE693-BE297</f>
        <v>22702.099127382771</v>
      </c>
      <c r="BF740" s="440">
        <f>BE740-BF629-BF630+BF694+BF693-BF297</f>
        <v>24742.294753912269</v>
      </c>
      <c r="BG740" s="440">
        <f>BF740-BG629-BG630+BG694+BG693-BG297</f>
        <v>26486.662014594989</v>
      </c>
      <c r="BH740" s="361"/>
    </row>
    <row r="741" spans="1:60" s="356" customFormat="1" x14ac:dyDescent="0.25">
      <c r="A741" s="526" t="s">
        <v>474</v>
      </c>
      <c r="B741" s="450"/>
      <c r="C741" s="440"/>
      <c r="D741" s="440"/>
      <c r="E741" s="440"/>
      <c r="F741" s="440"/>
      <c r="G741" s="439"/>
      <c r="H741" s="439"/>
      <c r="I741" s="439"/>
      <c r="J741" s="439"/>
      <c r="K741" s="440"/>
      <c r="L741" s="439"/>
      <c r="M741" s="439"/>
      <c r="N741" s="439"/>
      <c r="O741" s="439"/>
      <c r="P741" s="440"/>
      <c r="Q741" s="439"/>
      <c r="R741" s="439"/>
      <c r="S741" s="439"/>
      <c r="T741" s="439"/>
      <c r="U741" s="440"/>
      <c r="V741" s="439"/>
      <c r="W741" s="439"/>
      <c r="X741" s="439"/>
      <c r="Y741" s="439"/>
      <c r="Z741" s="440"/>
      <c r="AA741" s="439"/>
      <c r="AB741" s="439"/>
      <c r="AC741" s="439"/>
      <c r="AD741" s="439"/>
      <c r="AE741" s="440"/>
      <c r="AF741" s="439"/>
      <c r="AG741" s="439"/>
      <c r="AH741" s="439"/>
      <c r="AI741" s="439"/>
      <c r="AJ741" s="440"/>
      <c r="AK741" s="439"/>
      <c r="AL741" s="439">
        <v>1248.277</v>
      </c>
      <c r="AM741" s="439">
        <v>1234</v>
      </c>
      <c r="AN741" s="439">
        <f t="shared" si="805"/>
        <v>1218</v>
      </c>
      <c r="AO741" s="440">
        <v>1218</v>
      </c>
      <c r="AP741" s="439">
        <v>1197</v>
      </c>
      <c r="AQ741" s="439">
        <v>1274</v>
      </c>
      <c r="AR741" s="439">
        <v>1375</v>
      </c>
      <c r="AS741" s="439">
        <f t="shared" si="806"/>
        <v>1558</v>
      </c>
      <c r="AT741" s="440">
        <v>1558</v>
      </c>
      <c r="AU741" s="439">
        <v>1647</v>
      </c>
      <c r="AV741" s="439">
        <v>1734</v>
      </c>
      <c r="AW741" s="726">
        <v>1962</v>
      </c>
      <c r="AX741" s="439">
        <f>AW741</f>
        <v>1962</v>
      </c>
      <c r="AY741" s="440">
        <f t="shared" si="807"/>
        <v>1962</v>
      </c>
      <c r="AZ741" s="439">
        <f t="shared" ref="AZ741:BC742" si="824">AY741</f>
        <v>1962</v>
      </c>
      <c r="BA741" s="439">
        <f t="shared" si="824"/>
        <v>1962</v>
      </c>
      <c r="BB741" s="439">
        <f t="shared" si="824"/>
        <v>1962</v>
      </c>
      <c r="BC741" s="439">
        <f t="shared" si="824"/>
        <v>1962</v>
      </c>
      <c r="BD741" s="440">
        <f t="shared" si="808"/>
        <v>1962</v>
      </c>
      <c r="BE741" s="440">
        <f t="shared" ref="BE741:BG742" si="825">BD741</f>
        <v>1962</v>
      </c>
      <c r="BF741" s="440">
        <f t="shared" si="825"/>
        <v>1962</v>
      </c>
      <c r="BG741" s="440">
        <f t="shared" si="825"/>
        <v>1962</v>
      </c>
      <c r="BH741" s="361"/>
    </row>
    <row r="742" spans="1:60" s="356" customFormat="1" x14ac:dyDescent="0.25">
      <c r="A742" s="526" t="s">
        <v>584</v>
      </c>
      <c r="B742" s="450"/>
      <c r="C742" s="440"/>
      <c r="D742" s="440"/>
      <c r="E742" s="440"/>
      <c r="F742" s="440"/>
      <c r="G742" s="439"/>
      <c r="H742" s="439"/>
      <c r="I742" s="439"/>
      <c r="J742" s="439"/>
      <c r="K742" s="440"/>
      <c r="L742" s="439"/>
      <c r="M742" s="439"/>
      <c r="N742" s="439"/>
      <c r="O742" s="439"/>
      <c r="P742" s="440"/>
      <c r="Q742" s="439"/>
      <c r="R742" s="439"/>
      <c r="S742" s="439"/>
      <c r="T742" s="439"/>
      <c r="U742" s="440"/>
      <c r="V742" s="439"/>
      <c r="W742" s="439"/>
      <c r="X742" s="439"/>
      <c r="Y742" s="439"/>
      <c r="Z742" s="440"/>
      <c r="AA742" s="439"/>
      <c r="AB742" s="439"/>
      <c r="AC742" s="439"/>
      <c r="AD742" s="439"/>
      <c r="AE742" s="440"/>
      <c r="AF742" s="439"/>
      <c r="AG742" s="439"/>
      <c r="AH742" s="439"/>
      <c r="AI742" s="439"/>
      <c r="AJ742" s="440"/>
      <c r="AK742" s="439"/>
      <c r="AL742" s="439"/>
      <c r="AM742" s="439"/>
      <c r="AN742" s="439">
        <f t="shared" ref="AN742" si="826">AO742</f>
        <v>0</v>
      </c>
      <c r="AO742" s="440"/>
      <c r="AP742" s="439"/>
      <c r="AQ742" s="439"/>
      <c r="AR742" s="439"/>
      <c r="AS742" s="439">
        <f t="shared" ref="AS742" si="827">AT742</f>
        <v>0</v>
      </c>
      <c r="AT742" s="440"/>
      <c r="AU742" s="439">
        <v>1331</v>
      </c>
      <c r="AV742" s="439">
        <v>1311</v>
      </c>
      <c r="AW742" s="726">
        <v>1260</v>
      </c>
      <c r="AX742" s="439">
        <f>AW742</f>
        <v>1260</v>
      </c>
      <c r="AY742" s="440">
        <f t="shared" si="807"/>
        <v>1260</v>
      </c>
      <c r="AZ742" s="439">
        <f t="shared" si="824"/>
        <v>1260</v>
      </c>
      <c r="BA742" s="439">
        <f t="shared" si="824"/>
        <v>1260</v>
      </c>
      <c r="BB742" s="439">
        <f t="shared" si="824"/>
        <v>1260</v>
      </c>
      <c r="BC742" s="439">
        <f t="shared" si="824"/>
        <v>1260</v>
      </c>
      <c r="BD742" s="440">
        <f t="shared" si="808"/>
        <v>1260</v>
      </c>
      <c r="BE742" s="440">
        <f t="shared" si="825"/>
        <v>1260</v>
      </c>
      <c r="BF742" s="440">
        <f t="shared" si="825"/>
        <v>1260</v>
      </c>
      <c r="BG742" s="440">
        <f t="shared" si="825"/>
        <v>1260</v>
      </c>
      <c r="BH742" s="361"/>
    </row>
    <row r="743" spans="1:60" s="356" customFormat="1" x14ac:dyDescent="0.25">
      <c r="A743" s="526" t="s">
        <v>265</v>
      </c>
      <c r="B743" s="450"/>
      <c r="C743" s="440"/>
      <c r="D743" s="440"/>
      <c r="E743" s="440"/>
      <c r="F743" s="440"/>
      <c r="G743" s="439"/>
      <c r="H743" s="439"/>
      <c r="I743" s="439"/>
      <c r="J743" s="439"/>
      <c r="K743" s="440"/>
      <c r="L743" s="439"/>
      <c r="M743" s="439"/>
      <c r="N743" s="439"/>
      <c r="O743" s="439"/>
      <c r="P743" s="440"/>
      <c r="Q743" s="439"/>
      <c r="R743" s="439"/>
      <c r="S743" s="439"/>
      <c r="T743" s="439"/>
      <c r="U743" s="440"/>
      <c r="V743" s="439"/>
      <c r="W743" s="439"/>
      <c r="X743" s="439"/>
      <c r="Y743" s="439">
        <f>Z743</f>
        <v>376.14499999999998</v>
      </c>
      <c r="Z743" s="440">
        <v>376.14499999999998</v>
      </c>
      <c r="AA743" s="439">
        <v>388.608</v>
      </c>
      <c r="AB743" s="439">
        <v>380.84699999999998</v>
      </c>
      <c r="AC743" s="439">
        <v>372.238</v>
      </c>
      <c r="AD743" s="439">
        <f>AE743</f>
        <v>361.50200000000001</v>
      </c>
      <c r="AE743" s="440">
        <v>361.50200000000001</v>
      </c>
      <c r="AF743" s="439">
        <v>346.428</v>
      </c>
      <c r="AG743" s="439">
        <v>300.40600000000001</v>
      </c>
      <c r="AH743" s="439">
        <v>291.476</v>
      </c>
      <c r="AI743" s="439">
        <f>AJ743</f>
        <v>350.65100000000001</v>
      </c>
      <c r="AJ743" s="440">
        <v>350.65100000000001</v>
      </c>
      <c r="AK743" s="439">
        <v>1253.027</v>
      </c>
      <c r="AL743" s="439">
        <v>327.358</v>
      </c>
      <c r="AM743" s="439">
        <v>351</v>
      </c>
      <c r="AN743" s="439">
        <f t="shared" si="805"/>
        <v>339</v>
      </c>
      <c r="AO743" s="440">
        <v>339</v>
      </c>
      <c r="AP743" s="439">
        <v>323</v>
      </c>
      <c r="AQ743" s="439">
        <v>312</v>
      </c>
      <c r="AR743" s="439">
        <v>318</v>
      </c>
      <c r="AS743" s="439">
        <f t="shared" si="806"/>
        <v>313</v>
      </c>
      <c r="AT743" s="440">
        <v>313</v>
      </c>
      <c r="AU743" s="439">
        <v>299</v>
      </c>
      <c r="AV743" s="439">
        <v>283</v>
      </c>
      <c r="AW743" s="726">
        <v>269</v>
      </c>
      <c r="AX743" s="439">
        <f>AW743+AX700+AX699</f>
        <v>257.13452054794521</v>
      </c>
      <c r="AY743" s="440">
        <f t="shared" si="807"/>
        <v>257.13452054794521</v>
      </c>
      <c r="AZ743" s="439">
        <f>AY743+AZ700+AZ699</f>
        <v>246.03898986676677</v>
      </c>
      <c r="BA743" s="439">
        <f>AZ743+BA700+BA699</f>
        <v>235.30427503490853</v>
      </c>
      <c r="BB743" s="439">
        <f>BA743+BB700+BB699</f>
        <v>224.9251001635057</v>
      </c>
      <c r="BC743" s="439">
        <f>BB743+BC700+BC699</f>
        <v>215.00374643026615</v>
      </c>
      <c r="BD743" s="440">
        <f t="shared" si="808"/>
        <v>215.00374643026615</v>
      </c>
      <c r="BE743" s="440">
        <f>BD743+BE700+BE699</f>
        <v>176.30307207281825</v>
      </c>
      <c r="BF743" s="440">
        <f>BE743+BF700+BF699</f>
        <v>144.56851909971095</v>
      </c>
      <c r="BG743" s="440">
        <f>BF743+BG700+BG699</f>
        <v>121.4375560437572</v>
      </c>
      <c r="BH743" s="361"/>
    </row>
    <row r="744" spans="1:60" s="356" customFormat="1" x14ac:dyDescent="0.25">
      <c r="A744" s="526" t="s">
        <v>266</v>
      </c>
      <c r="B744" s="450"/>
      <c r="C744" s="440"/>
      <c r="D744" s="440"/>
      <c r="E744" s="440"/>
      <c r="F744" s="440"/>
      <c r="G744" s="439"/>
      <c r="H744" s="439"/>
      <c r="I744" s="439"/>
      <c r="J744" s="439"/>
      <c r="K744" s="440"/>
      <c r="L744" s="439"/>
      <c r="M744" s="439"/>
      <c r="N744" s="439"/>
      <c r="O744" s="439"/>
      <c r="P744" s="440"/>
      <c r="Q744" s="439"/>
      <c r="R744" s="439"/>
      <c r="S744" s="439"/>
      <c r="T744" s="439"/>
      <c r="U744" s="440"/>
      <c r="V744" s="439"/>
      <c r="W744" s="439"/>
      <c r="X744" s="439"/>
      <c r="Y744" s="439"/>
      <c r="Z744" s="440"/>
      <c r="AA744" s="439">
        <v>40.984000000000002</v>
      </c>
      <c r="AB744" s="439">
        <v>43.765999999999998</v>
      </c>
      <c r="AC744" s="439">
        <v>45.235999999999997</v>
      </c>
      <c r="AD744" s="439">
        <f>AE744</f>
        <v>60.237000000000002</v>
      </c>
      <c r="AE744" s="440">
        <v>60.237000000000002</v>
      </c>
      <c r="AF744" s="439">
        <v>61.283999999999999</v>
      </c>
      <c r="AG744" s="439">
        <v>64.284000000000006</v>
      </c>
      <c r="AH744" s="439">
        <v>65.225999999999999</v>
      </c>
      <c r="AI744" s="439">
        <f>AJ744</f>
        <v>0</v>
      </c>
      <c r="AJ744" s="440"/>
      <c r="AK744" s="439">
        <v>347.88</v>
      </c>
      <c r="AL744" s="439">
        <v>153.47499999999999</v>
      </c>
      <c r="AM744" s="439">
        <v>186</v>
      </c>
      <c r="AN744" s="439">
        <f t="shared" si="805"/>
        <v>198</v>
      </c>
      <c r="AO744" s="440">
        <v>198</v>
      </c>
      <c r="AP744" s="439">
        <v>193</v>
      </c>
      <c r="AQ744" s="439">
        <v>196</v>
      </c>
      <c r="AR744" s="439">
        <v>203</v>
      </c>
      <c r="AS744" s="439">
        <f t="shared" si="806"/>
        <v>207</v>
      </c>
      <c r="AT744" s="440">
        <v>207</v>
      </c>
      <c r="AU744" s="439">
        <v>206</v>
      </c>
      <c r="AV744" s="439">
        <v>203</v>
      </c>
      <c r="AW744" s="726">
        <v>201</v>
      </c>
      <c r="AX744" s="439">
        <f>AW744</f>
        <v>201</v>
      </c>
      <c r="AY744" s="440">
        <f t="shared" si="807"/>
        <v>201</v>
      </c>
      <c r="AZ744" s="439">
        <f t="shared" ref="AZ744:BC747" si="828">AY744</f>
        <v>201</v>
      </c>
      <c r="BA744" s="439">
        <f t="shared" si="828"/>
        <v>201</v>
      </c>
      <c r="BB744" s="439">
        <f t="shared" si="828"/>
        <v>201</v>
      </c>
      <c r="BC744" s="439">
        <f t="shared" si="828"/>
        <v>201</v>
      </c>
      <c r="BD744" s="440">
        <f t="shared" si="808"/>
        <v>201</v>
      </c>
      <c r="BE744" s="440">
        <f t="shared" ref="BE744:BG747" si="829">BD744</f>
        <v>201</v>
      </c>
      <c r="BF744" s="440">
        <f t="shared" si="829"/>
        <v>201</v>
      </c>
      <c r="BG744" s="440">
        <f t="shared" si="829"/>
        <v>201</v>
      </c>
      <c r="BH744" s="361"/>
    </row>
    <row r="745" spans="1:60" s="356" customFormat="1" x14ac:dyDescent="0.25">
      <c r="A745" s="526" t="s">
        <v>267</v>
      </c>
      <c r="B745" s="450"/>
      <c r="C745" s="440"/>
      <c r="D745" s="440"/>
      <c r="E745" s="440"/>
      <c r="F745" s="440"/>
      <c r="G745" s="439"/>
      <c r="H745" s="439"/>
      <c r="I745" s="439"/>
      <c r="J745" s="439"/>
      <c r="K745" s="440"/>
      <c r="L745" s="439"/>
      <c r="M745" s="439"/>
      <c r="N745" s="439"/>
      <c r="O745" s="439"/>
      <c r="P745" s="440"/>
      <c r="Q745" s="439"/>
      <c r="R745" s="439"/>
      <c r="S745" s="439"/>
      <c r="T745" s="439"/>
      <c r="U745" s="440"/>
      <c r="V745" s="439"/>
      <c r="W745" s="439"/>
      <c r="X745" s="439"/>
      <c r="Y745" s="439">
        <f>Z745</f>
        <v>506.30200000000002</v>
      </c>
      <c r="Z745" s="440">
        <v>506.30200000000002</v>
      </c>
      <c r="AA745" s="439">
        <v>486.35</v>
      </c>
      <c r="AB745" s="439">
        <v>472.66300000000001</v>
      </c>
      <c r="AC745" s="439">
        <v>463.87799999999999</v>
      </c>
      <c r="AD745" s="439">
        <f>AE745</f>
        <v>456.65199999999999</v>
      </c>
      <c r="AE745" s="440">
        <v>456.65199999999999</v>
      </c>
      <c r="AF745" s="439">
        <v>449.75400000000002</v>
      </c>
      <c r="AG745" s="439">
        <v>434.84100000000001</v>
      </c>
      <c r="AH745" s="439">
        <v>422.89699999999999</v>
      </c>
      <c r="AI745" s="439">
        <f>AJ745</f>
        <v>421.548</v>
      </c>
      <c r="AJ745" s="440">
        <v>421.548</v>
      </c>
      <c r="AK745" s="439">
        <v>413.18099999999998</v>
      </c>
      <c r="AL745" s="439">
        <v>400.30799999999999</v>
      </c>
      <c r="AM745" s="439">
        <v>398</v>
      </c>
      <c r="AN745" s="439">
        <f t="shared" si="805"/>
        <v>393</v>
      </c>
      <c r="AO745" s="440">
        <v>393</v>
      </c>
      <c r="AP745" s="439"/>
      <c r="AQ745" s="439"/>
      <c r="AR745" s="439"/>
      <c r="AS745" s="439">
        <f t="shared" si="806"/>
        <v>0</v>
      </c>
      <c r="AT745" s="440"/>
      <c r="AU745" s="439"/>
      <c r="AV745" s="439"/>
      <c r="AW745" s="726"/>
      <c r="AX745" s="439">
        <f>AW745</f>
        <v>0</v>
      </c>
      <c r="AY745" s="440">
        <f t="shared" si="807"/>
        <v>0</v>
      </c>
      <c r="AZ745" s="439">
        <f t="shared" si="828"/>
        <v>0</v>
      </c>
      <c r="BA745" s="439">
        <f t="shared" si="828"/>
        <v>0</v>
      </c>
      <c r="BB745" s="439">
        <f t="shared" si="828"/>
        <v>0</v>
      </c>
      <c r="BC745" s="439">
        <f t="shared" si="828"/>
        <v>0</v>
      </c>
      <c r="BD745" s="440">
        <f t="shared" si="808"/>
        <v>0</v>
      </c>
      <c r="BE745" s="440">
        <f t="shared" si="829"/>
        <v>0</v>
      </c>
      <c r="BF745" s="440">
        <f t="shared" si="829"/>
        <v>0</v>
      </c>
      <c r="BG745" s="440">
        <f t="shared" si="829"/>
        <v>0</v>
      </c>
      <c r="BH745" s="361"/>
    </row>
    <row r="746" spans="1:60" s="356" customFormat="1" x14ac:dyDescent="0.25">
      <c r="A746" s="526" t="s">
        <v>268</v>
      </c>
      <c r="B746" s="450"/>
      <c r="C746" s="440">
        <v>3.58</v>
      </c>
      <c r="D746" s="440">
        <v>4.867</v>
      </c>
      <c r="E746" s="440">
        <v>8.0679999999999996</v>
      </c>
      <c r="F746" s="440">
        <v>5.1589999999999998</v>
      </c>
      <c r="G746" s="439">
        <v>5.0439999999999996</v>
      </c>
      <c r="H746" s="439">
        <v>7.0590000000000002</v>
      </c>
      <c r="I746" s="439">
        <v>8.11</v>
      </c>
      <c r="J746" s="439">
        <f>K746</f>
        <v>6.4349999999999996</v>
      </c>
      <c r="K746" s="440">
        <v>6.4349999999999996</v>
      </c>
      <c r="L746" s="439">
        <v>7.1020000000000003</v>
      </c>
      <c r="M746" s="439">
        <v>7.2469999999999999</v>
      </c>
      <c r="N746" s="439">
        <v>9.09</v>
      </c>
      <c r="O746" s="439">
        <f>P746</f>
        <v>11.374000000000001</v>
      </c>
      <c r="P746" s="440">
        <v>11.374000000000001</v>
      </c>
      <c r="Q746" s="439">
        <v>13.846</v>
      </c>
      <c r="R746" s="439">
        <v>19.774000000000001</v>
      </c>
      <c r="S746" s="439">
        <v>26.355</v>
      </c>
      <c r="T746" s="439">
        <f>U746</f>
        <v>31.521999999999998</v>
      </c>
      <c r="U746" s="440">
        <v>31.521999999999998</v>
      </c>
      <c r="V746" s="439">
        <v>47.783000000000001</v>
      </c>
      <c r="W746" s="439">
        <v>71.620999999999995</v>
      </c>
      <c r="X746" s="439">
        <v>90.994</v>
      </c>
      <c r="Y746" s="439">
        <f>Z746</f>
        <v>268.16500000000002</v>
      </c>
      <c r="Z746" s="440">
        <v>268.16500000000002</v>
      </c>
      <c r="AA746" s="439">
        <v>330.22300000000001</v>
      </c>
      <c r="AB746" s="439">
        <v>358.44499999999999</v>
      </c>
      <c r="AC746" s="439">
        <v>408.54399999999998</v>
      </c>
      <c r="AD746" s="439">
        <f>AE746</f>
        <v>441.72199999999998</v>
      </c>
      <c r="AE746" s="440">
        <v>441.72199999999998</v>
      </c>
      <c r="AF746" s="439">
        <v>433.84100000000001</v>
      </c>
      <c r="AG746" s="439">
        <v>399.99200000000002</v>
      </c>
      <c r="AH746" s="439">
        <v>396.83499999999998</v>
      </c>
      <c r="AI746" s="439">
        <f>AJ746</f>
        <v>398.21899999999999</v>
      </c>
      <c r="AJ746" s="440">
        <v>398.21899999999999</v>
      </c>
      <c r="AK746" s="439">
        <v>353.67899999999997</v>
      </c>
      <c r="AL746" s="439">
        <v>365.54700000000003</v>
      </c>
      <c r="AM746" s="439">
        <v>255</v>
      </c>
      <c r="AN746" s="439">
        <f t="shared" si="805"/>
        <v>269</v>
      </c>
      <c r="AO746" s="440">
        <v>269</v>
      </c>
      <c r="AP746" s="439">
        <v>274</v>
      </c>
      <c r="AQ746" s="439">
        <v>288</v>
      </c>
      <c r="AR746" s="439">
        <v>298</v>
      </c>
      <c r="AS746" s="439">
        <f t="shared" si="806"/>
        <v>279</v>
      </c>
      <c r="AT746" s="440">
        <v>279</v>
      </c>
      <c r="AU746" s="439">
        <v>277</v>
      </c>
      <c r="AV746" s="439">
        <v>270</v>
      </c>
      <c r="AW746" s="726">
        <v>302</v>
      </c>
      <c r="AX746" s="439">
        <f>AW746</f>
        <v>302</v>
      </c>
      <c r="AY746" s="440">
        <f t="shared" si="807"/>
        <v>302</v>
      </c>
      <c r="AZ746" s="439">
        <f t="shared" si="828"/>
        <v>302</v>
      </c>
      <c r="BA746" s="439">
        <f t="shared" si="828"/>
        <v>302</v>
      </c>
      <c r="BB746" s="439">
        <f t="shared" si="828"/>
        <v>302</v>
      </c>
      <c r="BC746" s="439">
        <f t="shared" si="828"/>
        <v>302</v>
      </c>
      <c r="BD746" s="440">
        <f t="shared" si="808"/>
        <v>302</v>
      </c>
      <c r="BE746" s="440">
        <f t="shared" si="829"/>
        <v>302</v>
      </c>
      <c r="BF746" s="440">
        <f t="shared" si="829"/>
        <v>302</v>
      </c>
      <c r="BG746" s="440">
        <f t="shared" si="829"/>
        <v>302</v>
      </c>
      <c r="BH746" s="361"/>
    </row>
    <row r="747" spans="1:60" s="356" customFormat="1" x14ac:dyDescent="0.25">
      <c r="A747" s="466" t="s">
        <v>191</v>
      </c>
      <c r="B747" s="527"/>
      <c r="C747" s="479">
        <v>2.75</v>
      </c>
      <c r="D747" s="479">
        <v>22.73</v>
      </c>
      <c r="E747" s="479">
        <v>22.370999999999999</v>
      </c>
      <c r="F747" s="479">
        <v>21.963000000000001</v>
      </c>
      <c r="G747" s="459">
        <v>21.684000000000001</v>
      </c>
      <c r="H747" s="459">
        <v>24.196000000000002</v>
      </c>
      <c r="I747" s="459">
        <v>16.027000000000001</v>
      </c>
      <c r="J747" s="459">
        <f>K747</f>
        <v>23.637</v>
      </c>
      <c r="K747" s="479">
        <v>23.637</v>
      </c>
      <c r="L747" s="459">
        <v>36.143000000000001</v>
      </c>
      <c r="M747" s="459">
        <v>38.473999999999997</v>
      </c>
      <c r="N747" s="459">
        <v>43.46</v>
      </c>
      <c r="O747" s="459">
        <f>P747</f>
        <v>43.209000000000003</v>
      </c>
      <c r="P747" s="479">
        <v>43.209000000000003</v>
      </c>
      <c r="Q747" s="459">
        <v>48.515000000000001</v>
      </c>
      <c r="R747" s="459">
        <v>53.527000000000001</v>
      </c>
      <c r="S747" s="459">
        <v>57.811</v>
      </c>
      <c r="T747" s="459">
        <f>U747</f>
        <v>74.632999999999996</v>
      </c>
      <c r="U747" s="479">
        <v>74.632999999999996</v>
      </c>
      <c r="V747" s="459">
        <v>67.152000000000001</v>
      </c>
      <c r="W747" s="459">
        <v>66.650000000000006</v>
      </c>
      <c r="X747" s="459">
        <v>70.646000000000001</v>
      </c>
      <c r="Y747" s="459">
        <f>Z747</f>
        <v>216.751</v>
      </c>
      <c r="Z747" s="479">
        <v>216.751</v>
      </c>
      <c r="AA747" s="459">
        <v>224.536</v>
      </c>
      <c r="AB747" s="459">
        <v>209.98599999999999</v>
      </c>
      <c r="AC747" s="459">
        <v>231.84899999999999</v>
      </c>
      <c r="AD747" s="459">
        <f>AE747</f>
        <v>273.12299999999999</v>
      </c>
      <c r="AE747" s="479">
        <v>273.12299999999999</v>
      </c>
      <c r="AF747" s="459">
        <v>415.47800000000001</v>
      </c>
      <c r="AG747" s="459">
        <v>419.25400000000002</v>
      </c>
      <c r="AH747" s="459">
        <v>431.81900000000002</v>
      </c>
      <c r="AI747" s="459">
        <f>AJ747</f>
        <v>571.65700000000004</v>
      </c>
      <c r="AJ747" s="479">
        <v>571.65700000000004</v>
      </c>
      <c r="AK747" s="459">
        <v>801.86699999999996</v>
      </c>
      <c r="AL747" s="459">
        <v>842.97799999999995</v>
      </c>
      <c r="AM747" s="459">
        <v>820</v>
      </c>
      <c r="AN747" s="459">
        <f t="shared" si="805"/>
        <v>808</v>
      </c>
      <c r="AO747" s="479">
        <v>808</v>
      </c>
      <c r="AP747" s="459">
        <f>1373-AP746</f>
        <v>1099</v>
      </c>
      <c r="AQ747" s="459">
        <f>1415-AQ746</f>
        <v>1127</v>
      </c>
      <c r="AR747" s="459">
        <f>1436-AR746</f>
        <v>1138</v>
      </c>
      <c r="AS747" s="459">
        <f t="shared" si="806"/>
        <v>1257</v>
      </c>
      <c r="AT747" s="479">
        <f>1536-AT746</f>
        <v>1257</v>
      </c>
      <c r="AU747" s="459">
        <f>1587-AU746</f>
        <v>1310</v>
      </c>
      <c r="AV747" s="459">
        <f>1626-AV746</f>
        <v>1356</v>
      </c>
      <c r="AW747" s="723">
        <f>1854-AW746</f>
        <v>1552</v>
      </c>
      <c r="AX747" s="459">
        <f>AW747</f>
        <v>1552</v>
      </c>
      <c r="AY747" s="479">
        <f t="shared" si="807"/>
        <v>1552</v>
      </c>
      <c r="AZ747" s="459">
        <f t="shared" si="828"/>
        <v>1552</v>
      </c>
      <c r="BA747" s="459">
        <f t="shared" si="828"/>
        <v>1552</v>
      </c>
      <c r="BB747" s="459">
        <f t="shared" si="828"/>
        <v>1552</v>
      </c>
      <c r="BC747" s="459">
        <f t="shared" si="828"/>
        <v>1552</v>
      </c>
      <c r="BD747" s="479">
        <f t="shared" si="808"/>
        <v>1552</v>
      </c>
      <c r="BE747" s="479">
        <f t="shared" si="829"/>
        <v>1552</v>
      </c>
      <c r="BF747" s="479">
        <f t="shared" si="829"/>
        <v>1552</v>
      </c>
      <c r="BG747" s="479">
        <f t="shared" si="829"/>
        <v>1552</v>
      </c>
      <c r="BH747" s="361"/>
    </row>
    <row r="748" spans="1:60" s="116" customFormat="1" x14ac:dyDescent="0.25">
      <c r="A748" s="528" t="s">
        <v>269</v>
      </c>
      <c r="B748" s="529"/>
      <c r="C748" s="45">
        <f t="shared" ref="C748:AU748" si="830">SUM(C740:C747)+SUM(C728:C729)</f>
        <v>29.865000000000002</v>
      </c>
      <c r="D748" s="45">
        <f t="shared" si="830"/>
        <v>150.196</v>
      </c>
      <c r="E748" s="45">
        <f t="shared" si="830"/>
        <v>340.60999999999996</v>
      </c>
      <c r="F748" s="45">
        <f t="shared" si="830"/>
        <v>589.42200000000003</v>
      </c>
      <c r="G748" s="44">
        <f t="shared" si="830"/>
        <v>617.78499999999985</v>
      </c>
      <c r="H748" s="44">
        <f t="shared" si="830"/>
        <v>758.30199999999991</v>
      </c>
      <c r="I748" s="44">
        <f t="shared" si="830"/>
        <v>947.44299999999998</v>
      </c>
      <c r="J748" s="44">
        <f t="shared" si="830"/>
        <v>1150.991</v>
      </c>
      <c r="K748" s="45">
        <f t="shared" si="830"/>
        <v>1150.991</v>
      </c>
      <c r="L748" s="44">
        <f t="shared" si="830"/>
        <v>1344.3630000000001</v>
      </c>
      <c r="M748" s="44">
        <f t="shared" si="830"/>
        <v>1612.7689999999998</v>
      </c>
      <c r="N748" s="44">
        <f t="shared" si="830"/>
        <v>2074.6190000000001</v>
      </c>
      <c r="O748" s="44">
        <f t="shared" si="830"/>
        <v>2650.5940000000001</v>
      </c>
      <c r="P748" s="45">
        <f t="shared" si="830"/>
        <v>2650.5940000000001</v>
      </c>
      <c r="Q748" s="44">
        <f t="shared" si="830"/>
        <v>3198.6129999999998</v>
      </c>
      <c r="R748" s="44">
        <f t="shared" si="830"/>
        <v>3839.5639999999999</v>
      </c>
      <c r="S748" s="44">
        <f t="shared" si="830"/>
        <v>4548.7019999999993</v>
      </c>
      <c r="T748" s="44">
        <f t="shared" si="830"/>
        <v>5300.8919999999998</v>
      </c>
      <c r="U748" s="45">
        <f t="shared" si="830"/>
        <v>5300.8919999999998</v>
      </c>
      <c r="V748" s="44">
        <f t="shared" si="830"/>
        <v>5952.1589999999997</v>
      </c>
      <c r="W748" s="44">
        <f t="shared" si="830"/>
        <v>6665.2469999999994</v>
      </c>
      <c r="X748" s="44">
        <f t="shared" si="830"/>
        <v>7419.9850000000006</v>
      </c>
      <c r="Y748" s="44">
        <f t="shared" si="830"/>
        <v>16404.28</v>
      </c>
      <c r="Z748" s="45">
        <f t="shared" si="830"/>
        <v>16404.28</v>
      </c>
      <c r="AA748" s="44">
        <f t="shared" si="830"/>
        <v>18025.837</v>
      </c>
      <c r="AB748" s="44">
        <f t="shared" si="830"/>
        <v>19684.260999999999</v>
      </c>
      <c r="AC748" s="44">
        <f t="shared" si="830"/>
        <v>21038.341</v>
      </c>
      <c r="AD748" s="44">
        <f t="shared" si="830"/>
        <v>22084.851999999999</v>
      </c>
      <c r="AE748" s="45">
        <f t="shared" si="830"/>
        <v>22084.851999999999</v>
      </c>
      <c r="AF748" s="44">
        <f t="shared" si="830"/>
        <v>20887.508999999998</v>
      </c>
      <c r="AG748" s="44">
        <f t="shared" si="830"/>
        <v>21210.203000000001</v>
      </c>
      <c r="AH748" s="44">
        <f t="shared" si="830"/>
        <v>21342.222000000002</v>
      </c>
      <c r="AI748" s="44">
        <f t="shared" si="830"/>
        <v>21433.305999999997</v>
      </c>
      <c r="AJ748" s="45">
        <f t="shared" si="830"/>
        <v>21433.305999999997</v>
      </c>
      <c r="AK748" s="44">
        <f t="shared" si="830"/>
        <v>21234.701999999997</v>
      </c>
      <c r="AL748" s="44">
        <f t="shared" si="830"/>
        <v>21690.644999999997</v>
      </c>
      <c r="AM748" s="44">
        <f t="shared" si="830"/>
        <v>21855</v>
      </c>
      <c r="AN748" s="44">
        <f t="shared" si="830"/>
        <v>22206</v>
      </c>
      <c r="AO748" s="45">
        <f t="shared" si="830"/>
        <v>22206</v>
      </c>
      <c r="AP748" s="44">
        <f t="shared" si="830"/>
        <v>22357</v>
      </c>
      <c r="AQ748" s="44">
        <f t="shared" si="830"/>
        <v>22799</v>
      </c>
      <c r="AR748" s="44">
        <f t="shared" si="830"/>
        <v>23947</v>
      </c>
      <c r="AS748" s="44">
        <f t="shared" si="830"/>
        <v>25431</v>
      </c>
      <c r="AT748" s="45">
        <f t="shared" si="830"/>
        <v>25431</v>
      </c>
      <c r="AU748" s="44">
        <f t="shared" si="830"/>
        <v>28267</v>
      </c>
      <c r="AV748" s="44">
        <f t="shared" ref="AV748:BG748" si="831">SUM(AV740:AV747)+SUM(AV728:AV729)</f>
        <v>30453</v>
      </c>
      <c r="AW748" s="729">
        <f t="shared" si="831"/>
        <v>32832</v>
      </c>
      <c r="AX748" s="44">
        <f t="shared" si="831"/>
        <v>34347.146669983631</v>
      </c>
      <c r="AY748" s="45">
        <f t="shared" si="831"/>
        <v>34347.146669983631</v>
      </c>
      <c r="AZ748" s="44">
        <f t="shared" si="831"/>
        <v>36585.806388682904</v>
      </c>
      <c r="BA748" s="44">
        <f t="shared" si="831"/>
        <v>38801.531394967751</v>
      </c>
      <c r="BB748" s="44">
        <f t="shared" si="831"/>
        <v>40192.821164768029</v>
      </c>
      <c r="BC748" s="44">
        <f t="shared" si="831"/>
        <v>43354.915916067846</v>
      </c>
      <c r="BD748" s="45">
        <f t="shared" si="831"/>
        <v>43354.915916067846</v>
      </c>
      <c r="BE748" s="45">
        <f t="shared" si="831"/>
        <v>51645.206839099999</v>
      </c>
      <c r="BF748" s="45">
        <f t="shared" si="831"/>
        <v>60261.455262957221</v>
      </c>
      <c r="BG748" s="45">
        <f t="shared" si="831"/>
        <v>69527.763209070719</v>
      </c>
      <c r="BH748" s="368"/>
    </row>
    <row r="749" spans="1:60" s="116" customFormat="1" x14ac:dyDescent="0.25">
      <c r="A749" s="530" t="s">
        <v>270</v>
      </c>
      <c r="B749" s="531"/>
      <c r="C749" s="438">
        <f>C725+C748</f>
        <v>130.42400000000001</v>
      </c>
      <c r="D749" s="438">
        <f>D725+D748</f>
        <v>386.08199999999999</v>
      </c>
      <c r="E749" s="438">
        <f>E725+E748</f>
        <v>713.44799999999987</v>
      </c>
      <c r="F749" s="438">
        <f>F725+F748</f>
        <v>1114.19</v>
      </c>
      <c r="G749" s="437">
        <v>1143.778</v>
      </c>
      <c r="H749" s="437">
        <f t="shared" ref="H749:AM749" si="832">H725+H748</f>
        <v>1887.8439999999998</v>
      </c>
      <c r="I749" s="437">
        <f t="shared" si="832"/>
        <v>2166.2089999999998</v>
      </c>
      <c r="J749" s="437">
        <f t="shared" si="832"/>
        <v>2416.9299999999998</v>
      </c>
      <c r="K749" s="438">
        <f t="shared" si="832"/>
        <v>2416.9299999999998</v>
      </c>
      <c r="L749" s="437">
        <f t="shared" si="832"/>
        <v>4500.41</v>
      </c>
      <c r="M749" s="437">
        <f t="shared" si="832"/>
        <v>5054.4629999999997</v>
      </c>
      <c r="N749" s="437">
        <f t="shared" si="832"/>
        <v>5437.5330000000004</v>
      </c>
      <c r="O749" s="437">
        <f t="shared" si="832"/>
        <v>5830.6669999999995</v>
      </c>
      <c r="P749" s="438">
        <f t="shared" si="832"/>
        <v>5830.6669999999995</v>
      </c>
      <c r="Q749" s="437">
        <f t="shared" si="832"/>
        <v>6120.03</v>
      </c>
      <c r="R749" s="437">
        <f t="shared" si="832"/>
        <v>6468.1849999999995</v>
      </c>
      <c r="S749" s="437">
        <f t="shared" si="832"/>
        <v>7547.4969999999994</v>
      </c>
      <c r="T749" s="437">
        <f t="shared" si="832"/>
        <v>8092.4599999999991</v>
      </c>
      <c r="U749" s="438">
        <f t="shared" si="832"/>
        <v>8092.4599999999991</v>
      </c>
      <c r="V749" s="437">
        <f t="shared" si="832"/>
        <v>9191.7019999999993</v>
      </c>
      <c r="W749" s="437">
        <f t="shared" si="832"/>
        <v>11868.951999999999</v>
      </c>
      <c r="X749" s="437">
        <f t="shared" si="832"/>
        <v>12592.397000000001</v>
      </c>
      <c r="Y749" s="437">
        <f t="shared" si="832"/>
        <v>22664.076000000001</v>
      </c>
      <c r="Z749" s="438">
        <f t="shared" si="832"/>
        <v>22664.076000000001</v>
      </c>
      <c r="AA749" s="437">
        <f t="shared" si="832"/>
        <v>25053.725999999999</v>
      </c>
      <c r="AB749" s="437">
        <f t="shared" si="832"/>
        <v>26043.704999999998</v>
      </c>
      <c r="AC749" s="437">
        <f t="shared" si="832"/>
        <v>28107.074000000001</v>
      </c>
      <c r="AD749" s="437">
        <f t="shared" si="832"/>
        <v>28655.371999999999</v>
      </c>
      <c r="AE749" s="438">
        <f t="shared" si="832"/>
        <v>28655.371999999999</v>
      </c>
      <c r="AF749" s="437">
        <f t="shared" si="832"/>
        <v>27271.428999999996</v>
      </c>
      <c r="AG749" s="437">
        <f t="shared" si="832"/>
        <v>27910</v>
      </c>
      <c r="AH749" s="437">
        <f t="shared" si="832"/>
        <v>29262.713000000003</v>
      </c>
      <c r="AI749" s="437">
        <f t="shared" si="832"/>
        <v>29739.613999999994</v>
      </c>
      <c r="AJ749" s="438">
        <f t="shared" si="832"/>
        <v>29739.613999999994</v>
      </c>
      <c r="AK749" s="437">
        <f t="shared" si="832"/>
        <v>28912.523999999998</v>
      </c>
      <c r="AL749" s="437">
        <f t="shared" si="832"/>
        <v>31872.596999999994</v>
      </c>
      <c r="AM749" s="437">
        <f t="shared" si="832"/>
        <v>32795</v>
      </c>
      <c r="AN749" s="437">
        <f t="shared" ref="AN749:AV749" si="833">AN725+AN748</f>
        <v>34309</v>
      </c>
      <c r="AO749" s="438">
        <f t="shared" si="833"/>
        <v>34309</v>
      </c>
      <c r="AP749" s="437">
        <f t="shared" si="833"/>
        <v>37250</v>
      </c>
      <c r="AQ749" s="437">
        <f t="shared" si="833"/>
        <v>38135</v>
      </c>
      <c r="AR749" s="437">
        <f t="shared" si="833"/>
        <v>45691</v>
      </c>
      <c r="AS749" s="437">
        <f t="shared" si="833"/>
        <v>52148</v>
      </c>
      <c r="AT749" s="438">
        <f t="shared" si="833"/>
        <v>52148</v>
      </c>
      <c r="AU749" s="437">
        <f t="shared" si="833"/>
        <v>52972</v>
      </c>
      <c r="AV749" s="437">
        <f t="shared" si="833"/>
        <v>55146</v>
      </c>
      <c r="AW749" s="725">
        <f t="shared" ref="AW749:BG749" si="834">AW725+AW748</f>
        <v>57834</v>
      </c>
      <c r="AX749" s="437">
        <f t="shared" ca="1" si="834"/>
        <v>63853.895252318427</v>
      </c>
      <c r="AY749" s="438">
        <f t="shared" ca="1" si="834"/>
        <v>63853.895252318427</v>
      </c>
      <c r="AZ749" s="437">
        <f t="shared" ca="1" si="834"/>
        <v>69410.879266606222</v>
      </c>
      <c r="BA749" s="437">
        <f t="shared" ca="1" si="834"/>
        <v>76573.758534142762</v>
      </c>
      <c r="BB749" s="437">
        <f t="shared" ca="1" si="834"/>
        <v>85768.939585068452</v>
      </c>
      <c r="BC749" s="437">
        <f t="shared" ca="1" si="834"/>
        <v>99544.952946043806</v>
      </c>
      <c r="BD749" s="438">
        <f t="shared" ca="1" si="834"/>
        <v>99544.952946043806</v>
      </c>
      <c r="BE749" s="438">
        <f t="shared" ca="1" si="834"/>
        <v>126037.82697623968</v>
      </c>
      <c r="BF749" s="438">
        <f t="shared" ca="1" si="834"/>
        <v>158168.56632723843</v>
      </c>
      <c r="BG749" s="438">
        <f t="shared" ca="1" si="834"/>
        <v>197449.49416713827</v>
      </c>
      <c r="BH749" s="368"/>
    </row>
    <row r="750" spans="1:60" s="116" customFormat="1" x14ac:dyDescent="0.25">
      <c r="A750" s="530"/>
      <c r="B750" s="531"/>
      <c r="C750" s="438"/>
      <c r="D750" s="438"/>
      <c r="E750" s="438"/>
      <c r="F750" s="438"/>
      <c r="G750" s="437"/>
      <c r="H750" s="437"/>
      <c r="I750" s="437"/>
      <c r="J750" s="437"/>
      <c r="K750" s="438"/>
      <c r="L750" s="437"/>
      <c r="M750" s="437"/>
      <c r="N750" s="437"/>
      <c r="O750" s="437"/>
      <c r="P750" s="438"/>
      <c r="Q750" s="437"/>
      <c r="R750" s="437"/>
      <c r="S750" s="437"/>
      <c r="T750" s="437"/>
      <c r="U750" s="438"/>
      <c r="V750" s="437"/>
      <c r="W750" s="437"/>
      <c r="X750" s="437"/>
      <c r="Y750" s="437"/>
      <c r="Z750" s="438"/>
      <c r="AA750" s="437"/>
      <c r="AB750" s="437"/>
      <c r="AC750" s="437"/>
      <c r="AD750" s="437"/>
      <c r="AE750" s="438"/>
      <c r="AF750" s="437"/>
      <c r="AG750" s="437"/>
      <c r="AH750" s="437"/>
      <c r="AI750" s="437"/>
      <c r="AJ750" s="438"/>
      <c r="AK750" s="437"/>
      <c r="AL750" s="437"/>
      <c r="AM750" s="437"/>
      <c r="AN750" s="437"/>
      <c r="AO750" s="438"/>
      <c r="AP750" s="437"/>
      <c r="AQ750" s="437"/>
      <c r="AR750" s="437"/>
      <c r="AS750" s="437"/>
      <c r="AT750" s="438"/>
      <c r="AU750" s="437"/>
      <c r="AV750" s="437"/>
      <c r="AW750" s="725"/>
      <c r="AX750" s="437"/>
      <c r="AY750" s="438"/>
      <c r="AZ750" s="437"/>
      <c r="BA750" s="437"/>
      <c r="BB750" s="437"/>
      <c r="BC750" s="437"/>
      <c r="BD750" s="438"/>
      <c r="BE750" s="438"/>
      <c r="BF750" s="438"/>
      <c r="BG750" s="438"/>
      <c r="BH750" s="368"/>
    </row>
    <row r="751" spans="1:60" s="116" customFormat="1" x14ac:dyDescent="0.25">
      <c r="A751" s="530" t="s">
        <v>271</v>
      </c>
      <c r="B751" s="531"/>
      <c r="C751" s="438"/>
      <c r="D751" s="438"/>
      <c r="E751" s="438"/>
      <c r="F751" s="438"/>
      <c r="G751" s="437"/>
      <c r="H751" s="437"/>
      <c r="I751" s="437"/>
      <c r="J751" s="437"/>
      <c r="K751" s="438"/>
      <c r="L751" s="437"/>
      <c r="M751" s="437"/>
      <c r="N751" s="437"/>
      <c r="O751" s="437"/>
      <c r="P751" s="438"/>
      <c r="Q751" s="437"/>
      <c r="R751" s="437"/>
      <c r="S751" s="437"/>
      <c r="T751" s="437"/>
      <c r="U751" s="438"/>
      <c r="V751" s="437"/>
      <c r="W751" s="437"/>
      <c r="X751" s="437"/>
      <c r="Y751" s="437"/>
      <c r="Z751" s="438"/>
      <c r="AA751" s="437"/>
      <c r="AB751" s="437"/>
      <c r="AC751" s="437"/>
      <c r="AD751" s="437"/>
      <c r="AE751" s="438"/>
      <c r="AF751" s="437"/>
      <c r="AG751" s="437"/>
      <c r="AH751" s="437"/>
      <c r="AI751" s="437"/>
      <c r="AJ751" s="438"/>
      <c r="AK751" s="437"/>
      <c r="AL751" s="437"/>
      <c r="AM751" s="437"/>
      <c r="AN751" s="437"/>
      <c r="AO751" s="438"/>
      <c r="AP751" s="437"/>
      <c r="AQ751" s="437"/>
      <c r="AR751" s="437"/>
      <c r="AS751" s="437"/>
      <c r="AT751" s="438"/>
      <c r="AU751" s="437"/>
      <c r="AV751" s="437"/>
      <c r="AW751" s="725"/>
      <c r="AX751" s="437"/>
      <c r="AY751" s="438"/>
      <c r="AZ751" s="437"/>
      <c r="BA751" s="437"/>
      <c r="BB751" s="437"/>
      <c r="BC751" s="437"/>
      <c r="BD751" s="438"/>
      <c r="BE751" s="438"/>
      <c r="BF751" s="438"/>
      <c r="BG751" s="438"/>
      <c r="BH751" s="368"/>
    </row>
    <row r="752" spans="1:60" s="356" customFormat="1" x14ac:dyDescent="0.25">
      <c r="A752" s="526" t="s">
        <v>272</v>
      </c>
      <c r="B752" s="450"/>
      <c r="C752" s="440">
        <v>15.086</v>
      </c>
      <c r="D752" s="440">
        <v>28.951000000000001</v>
      </c>
      <c r="E752" s="440">
        <v>56.140999999999998</v>
      </c>
      <c r="F752" s="440">
        <v>303.38200000000001</v>
      </c>
      <c r="G752" s="439">
        <v>304.20400000000001</v>
      </c>
      <c r="H752" s="439">
        <v>262.22699999999998</v>
      </c>
      <c r="I752" s="439">
        <v>302.43900000000002</v>
      </c>
      <c r="J752" s="439">
        <f>K752</f>
        <v>303.96899999999999</v>
      </c>
      <c r="K752" s="440">
        <v>303.96899999999999</v>
      </c>
      <c r="L752" s="439">
        <v>375.77800000000002</v>
      </c>
      <c r="M752" s="439">
        <v>443.548</v>
      </c>
      <c r="N752" s="439">
        <v>649.36199999999997</v>
      </c>
      <c r="O752" s="439">
        <f>P752</f>
        <v>777.94600000000003</v>
      </c>
      <c r="P752" s="440">
        <v>777.94600000000003</v>
      </c>
      <c r="Q752" s="439">
        <v>732.33100000000002</v>
      </c>
      <c r="R752" s="439">
        <v>771.63699999999994</v>
      </c>
      <c r="S752" s="439">
        <v>824.86099999999999</v>
      </c>
      <c r="T752" s="439">
        <f>U752</f>
        <v>916.14800000000002</v>
      </c>
      <c r="U752" s="440">
        <v>916.14800000000002</v>
      </c>
      <c r="V752" s="439">
        <v>1013.486</v>
      </c>
      <c r="W752" s="439">
        <v>1114.8779999999999</v>
      </c>
      <c r="X752" s="439">
        <v>1606.2840000000001</v>
      </c>
      <c r="Y752" s="439">
        <f t="shared" ref="Y752:Y761" si="835">Z752</f>
        <v>1860.3409999999999</v>
      </c>
      <c r="Z752" s="440">
        <v>1860.3409999999999</v>
      </c>
      <c r="AA752" s="439">
        <v>2075.3330000000001</v>
      </c>
      <c r="AB752" s="439">
        <v>2359.3159999999998</v>
      </c>
      <c r="AC752" s="439">
        <v>2385.7779999999998</v>
      </c>
      <c r="AD752" s="439">
        <f t="shared" ref="AD752:AD762" si="836">AE752</f>
        <v>2390.25</v>
      </c>
      <c r="AE752" s="440">
        <v>2390.25</v>
      </c>
      <c r="AF752" s="439">
        <v>2603.498</v>
      </c>
      <c r="AG752" s="439">
        <v>3030.4929999999999</v>
      </c>
      <c r="AH752" s="439">
        <v>3596.9839999999999</v>
      </c>
      <c r="AI752" s="439">
        <f t="shared" ref="AI752:AI762" si="837">AJ752</f>
        <v>3404.451</v>
      </c>
      <c r="AJ752" s="440">
        <v>3404.451</v>
      </c>
      <c r="AK752" s="439">
        <v>3248.8270000000002</v>
      </c>
      <c r="AL752" s="439">
        <v>3133.587</v>
      </c>
      <c r="AM752" s="439">
        <v>3468</v>
      </c>
      <c r="AN752" s="439">
        <f t="shared" ref="AN752:AN762" si="838">AO752</f>
        <v>3771</v>
      </c>
      <c r="AO752" s="440">
        <v>3771</v>
      </c>
      <c r="AP752" s="439">
        <v>3970</v>
      </c>
      <c r="AQ752" s="439">
        <v>3638</v>
      </c>
      <c r="AR752" s="439">
        <v>4958</v>
      </c>
      <c r="AS752" s="439">
        <f t="shared" ref="AS752:AS762" si="839">AT752</f>
        <v>6051</v>
      </c>
      <c r="AT752" s="440">
        <v>6051</v>
      </c>
      <c r="AU752" s="439">
        <v>6648</v>
      </c>
      <c r="AV752" s="439">
        <v>7558</v>
      </c>
      <c r="AW752" s="726">
        <v>8260</v>
      </c>
      <c r="AX752" s="439">
        <f>(AX$381+AW$381+AV$381+AU$381)*AX678</f>
        <v>10170.010814423969</v>
      </c>
      <c r="AY752" s="440">
        <f>AX752</f>
        <v>10170.010814423969</v>
      </c>
      <c r="AZ752" s="439">
        <f>(AZ$381+AX$381+AW$381+AV$381)*AZ678</f>
        <v>11841.701907961653</v>
      </c>
      <c r="BA752" s="439">
        <f>(BA$381+AZ$381+AX$381+AW$381)*BA678</f>
        <v>13953.569927167964</v>
      </c>
      <c r="BB752" s="439">
        <f>(BB$381+BA$381+AZ$381+AX$381)*BB678</f>
        <v>16524.134340317039</v>
      </c>
      <c r="BC752" s="439">
        <f>(BC$381+BB$381+BA$381+AZ$381)*BC678</f>
        <v>21282.819328474441</v>
      </c>
      <c r="BD752" s="440">
        <f>BC752</f>
        <v>21282.819328474441</v>
      </c>
      <c r="BE752" s="440">
        <f>BE381*BE678</f>
        <v>26239.849468964865</v>
      </c>
      <c r="BF752" s="440">
        <f>BF381*BF678</f>
        <v>32154.541924207679</v>
      </c>
      <c r="BG752" s="440">
        <f>BG381*BG678</f>
        <v>39423.118539665084</v>
      </c>
      <c r="BH752" s="361"/>
    </row>
    <row r="753" spans="1:60" s="356" customFormat="1" hidden="1" outlineLevel="1" x14ac:dyDescent="0.25">
      <c r="A753" s="618" t="s">
        <v>274</v>
      </c>
      <c r="B753" s="450"/>
      <c r="C753" s="440">
        <v>0</v>
      </c>
      <c r="D753" s="440">
        <v>0</v>
      </c>
      <c r="E753" s="440">
        <v>0</v>
      </c>
      <c r="F753" s="440">
        <v>0</v>
      </c>
      <c r="G753" s="439">
        <v>0</v>
      </c>
      <c r="H753" s="439">
        <v>0</v>
      </c>
      <c r="I753" s="439">
        <v>0</v>
      </c>
      <c r="J753" s="439">
        <f>K753</f>
        <v>0</v>
      </c>
      <c r="K753" s="440">
        <v>0</v>
      </c>
      <c r="L753" s="439">
        <v>0</v>
      </c>
      <c r="M753" s="439">
        <v>0</v>
      </c>
      <c r="N753" s="439">
        <v>0</v>
      </c>
      <c r="O753" s="439">
        <f>P753</f>
        <v>0</v>
      </c>
      <c r="P753" s="440">
        <v>0</v>
      </c>
      <c r="Q753" s="439">
        <v>0</v>
      </c>
      <c r="R753" s="439">
        <v>67.7</v>
      </c>
      <c r="S753" s="439">
        <v>85.58</v>
      </c>
      <c r="T753" s="439">
        <f>U753</f>
        <v>136.83099999999999</v>
      </c>
      <c r="U753" s="440">
        <v>136.83099999999999</v>
      </c>
      <c r="V753" s="439">
        <v>192.423</v>
      </c>
      <c r="W753" s="439">
        <v>227.83799999999999</v>
      </c>
      <c r="X753" s="439">
        <v>204.054</v>
      </c>
      <c r="Y753" s="439">
        <f>Z753</f>
        <v>179.50399999999999</v>
      </c>
      <c r="Z753" s="440">
        <v>179.50399999999999</v>
      </c>
      <c r="AA753" s="439">
        <v>248.536</v>
      </c>
      <c r="AB753" s="439">
        <v>342.82400000000001</v>
      </c>
      <c r="AC753" s="439">
        <v>543.33600000000001</v>
      </c>
      <c r="AD753" s="439">
        <f>AE753</f>
        <v>787.33299999999997</v>
      </c>
      <c r="AE753" s="440">
        <v>787.33299999999997</v>
      </c>
      <c r="AF753" s="439">
        <v>629.11199999999997</v>
      </c>
      <c r="AG753" s="439">
        <v>674.255</v>
      </c>
      <c r="AH753" s="439">
        <v>604.94899999999996</v>
      </c>
      <c r="AI753" s="439">
        <f>AJ753</f>
        <v>502.84</v>
      </c>
      <c r="AJ753" s="440">
        <v>502.84</v>
      </c>
      <c r="AK753" s="439">
        <v>480.22500000000002</v>
      </c>
      <c r="AL753" s="439">
        <v>526.75800000000004</v>
      </c>
      <c r="AM753" s="439">
        <v>441</v>
      </c>
      <c r="AN753" s="439">
        <f>AO753</f>
        <v>317</v>
      </c>
      <c r="AO753" s="440">
        <v>317</v>
      </c>
      <c r="AP753" s="439"/>
      <c r="AQ753" s="439"/>
      <c r="AR753" s="439"/>
      <c r="AS753" s="439"/>
      <c r="AT753" s="440"/>
      <c r="AU753" s="439"/>
      <c r="AV753" s="439"/>
      <c r="AW753" s="726"/>
      <c r="AX753" s="439"/>
      <c r="AY753" s="440"/>
      <c r="AZ753" s="439"/>
      <c r="BA753" s="439"/>
      <c r="BB753" s="439"/>
      <c r="BC753" s="439"/>
      <c r="BD753" s="440"/>
      <c r="BE753" s="440"/>
      <c r="BF753" s="440"/>
      <c r="BG753" s="440"/>
      <c r="BH753" s="361"/>
    </row>
    <row r="754" spans="1:60" s="356" customFormat="1" hidden="1" outlineLevel="1" x14ac:dyDescent="0.25">
      <c r="A754" s="619" t="s">
        <v>193</v>
      </c>
      <c r="B754" s="527"/>
      <c r="C754" s="479">
        <v>14.532</v>
      </c>
      <c r="D754" s="479">
        <v>20.945</v>
      </c>
      <c r="E754" s="479">
        <v>32.109000000000002</v>
      </c>
      <c r="F754" s="479">
        <v>39.798000000000002</v>
      </c>
      <c r="G754" s="459">
        <v>40.710999999999999</v>
      </c>
      <c r="H754" s="459">
        <v>55.125999999999998</v>
      </c>
      <c r="I754" s="459">
        <v>74.531000000000006</v>
      </c>
      <c r="J754" s="459">
        <f>K754</f>
        <v>108.252</v>
      </c>
      <c r="K754" s="479">
        <v>108.252</v>
      </c>
      <c r="L754" s="459">
        <v>128.67400000000001</v>
      </c>
      <c r="M754" s="459">
        <v>161.43700000000001</v>
      </c>
      <c r="N754" s="459">
        <v>194.571</v>
      </c>
      <c r="O754" s="459">
        <f>P754</f>
        <v>268.88299999999998</v>
      </c>
      <c r="P754" s="479">
        <v>268.88299999999998</v>
      </c>
      <c r="Q754" s="459">
        <v>353.76799999999997</v>
      </c>
      <c r="R754" s="459">
        <v>345.40100000000001</v>
      </c>
      <c r="S754" s="459">
        <v>373.85899999999998</v>
      </c>
      <c r="T754" s="459">
        <f>U754</f>
        <v>422.798</v>
      </c>
      <c r="U754" s="479">
        <v>422.798</v>
      </c>
      <c r="V754" s="459">
        <v>438.52199999999999</v>
      </c>
      <c r="W754" s="459">
        <v>558.21199999999999</v>
      </c>
      <c r="X754" s="459">
        <v>695.01800000000003</v>
      </c>
      <c r="Y754" s="459">
        <f t="shared" ref="Y754" si="840">Z754</f>
        <v>1210.028</v>
      </c>
      <c r="Z754" s="479">
        <v>1210.028</v>
      </c>
      <c r="AA754" s="459">
        <v>1460.367</v>
      </c>
      <c r="AB754" s="459">
        <v>1510.7439999999999</v>
      </c>
      <c r="AC754" s="459">
        <v>1477.7840000000001</v>
      </c>
      <c r="AD754" s="459">
        <f t="shared" ref="AD754" si="841">AE754</f>
        <v>1731.366</v>
      </c>
      <c r="AE754" s="479">
        <v>1731.366</v>
      </c>
      <c r="AF754" s="459">
        <v>1898.431</v>
      </c>
      <c r="AG754" s="459">
        <v>1814.979</v>
      </c>
      <c r="AH754" s="459">
        <v>1990.095</v>
      </c>
      <c r="AI754" s="459">
        <f t="shared" ref="AI754" si="842">AJ754</f>
        <v>2094.2530000000002</v>
      </c>
      <c r="AJ754" s="479">
        <v>2094.2530000000002</v>
      </c>
      <c r="AK754" s="459">
        <v>2276.951</v>
      </c>
      <c r="AL754" s="459">
        <v>2622.9430000000002</v>
      </c>
      <c r="AM754" s="459">
        <v>2497</v>
      </c>
      <c r="AN754" s="459">
        <f t="shared" ref="AN754" si="843">AO754</f>
        <v>2905</v>
      </c>
      <c r="AO754" s="479">
        <v>2905</v>
      </c>
      <c r="AP754" s="459"/>
      <c r="AQ754" s="459"/>
      <c r="AR754" s="459"/>
      <c r="AS754" s="459"/>
      <c r="AT754" s="479"/>
      <c r="AU754" s="459"/>
      <c r="AV754" s="459"/>
      <c r="AW754" s="723"/>
      <c r="AX754" s="459"/>
      <c r="AY754" s="479"/>
      <c r="AZ754" s="459"/>
      <c r="BA754" s="459"/>
      <c r="BB754" s="459"/>
      <c r="BC754" s="459"/>
      <c r="BD754" s="479"/>
      <c r="BE754" s="479"/>
      <c r="BF754" s="479"/>
      <c r="BG754" s="479"/>
      <c r="BH754" s="361"/>
    </row>
    <row r="755" spans="1:60" s="356" customFormat="1" collapsed="1" x14ac:dyDescent="0.25">
      <c r="A755" s="526" t="s">
        <v>570</v>
      </c>
      <c r="B755" s="450"/>
      <c r="C755" s="440">
        <f t="shared" ref="C755:AO755" si="844">SUM(C753:C754)</f>
        <v>14.532</v>
      </c>
      <c r="D755" s="440">
        <f t="shared" si="844"/>
        <v>20.945</v>
      </c>
      <c r="E755" s="440">
        <f t="shared" si="844"/>
        <v>32.109000000000002</v>
      </c>
      <c r="F755" s="440">
        <f t="shared" si="844"/>
        <v>39.798000000000002</v>
      </c>
      <c r="G755" s="439">
        <f t="shared" si="844"/>
        <v>40.710999999999999</v>
      </c>
      <c r="H755" s="439">
        <f t="shared" si="844"/>
        <v>55.125999999999998</v>
      </c>
      <c r="I755" s="439">
        <f t="shared" si="844"/>
        <v>74.531000000000006</v>
      </c>
      <c r="J755" s="439">
        <f t="shared" si="844"/>
        <v>108.252</v>
      </c>
      <c r="K755" s="440">
        <f t="shared" si="844"/>
        <v>108.252</v>
      </c>
      <c r="L755" s="439">
        <f t="shared" si="844"/>
        <v>128.67400000000001</v>
      </c>
      <c r="M755" s="439">
        <f t="shared" si="844"/>
        <v>161.43700000000001</v>
      </c>
      <c r="N755" s="439">
        <f t="shared" si="844"/>
        <v>194.571</v>
      </c>
      <c r="O755" s="439">
        <f t="shared" si="844"/>
        <v>268.88299999999998</v>
      </c>
      <c r="P755" s="440">
        <f t="shared" si="844"/>
        <v>268.88299999999998</v>
      </c>
      <c r="Q755" s="439">
        <f t="shared" si="844"/>
        <v>353.76799999999997</v>
      </c>
      <c r="R755" s="439">
        <f t="shared" si="844"/>
        <v>413.101</v>
      </c>
      <c r="S755" s="439">
        <f t="shared" si="844"/>
        <v>459.43899999999996</v>
      </c>
      <c r="T755" s="439">
        <f t="shared" si="844"/>
        <v>559.62900000000002</v>
      </c>
      <c r="U755" s="440">
        <f t="shared" si="844"/>
        <v>559.62900000000002</v>
      </c>
      <c r="V755" s="439">
        <f t="shared" si="844"/>
        <v>630.94499999999994</v>
      </c>
      <c r="W755" s="439">
        <f t="shared" si="844"/>
        <v>786.05</v>
      </c>
      <c r="X755" s="439">
        <f t="shared" si="844"/>
        <v>899.072</v>
      </c>
      <c r="Y755" s="439">
        <f t="shared" si="844"/>
        <v>1389.5319999999999</v>
      </c>
      <c r="Z755" s="440">
        <f t="shared" si="844"/>
        <v>1389.5319999999999</v>
      </c>
      <c r="AA755" s="439">
        <f t="shared" si="844"/>
        <v>1708.903</v>
      </c>
      <c r="AB755" s="439">
        <f t="shared" si="844"/>
        <v>1853.568</v>
      </c>
      <c r="AC755" s="439">
        <f t="shared" si="844"/>
        <v>2021.1200000000001</v>
      </c>
      <c r="AD755" s="439">
        <f t="shared" si="844"/>
        <v>2518.6990000000001</v>
      </c>
      <c r="AE755" s="440">
        <f t="shared" si="844"/>
        <v>2518.6990000000001</v>
      </c>
      <c r="AF755" s="439">
        <f t="shared" si="844"/>
        <v>2527.5430000000001</v>
      </c>
      <c r="AG755" s="439">
        <f t="shared" si="844"/>
        <v>2489.2339999999999</v>
      </c>
      <c r="AH755" s="439">
        <f t="shared" si="844"/>
        <v>2595.0439999999999</v>
      </c>
      <c r="AI755" s="439">
        <f t="shared" si="844"/>
        <v>2597.0930000000003</v>
      </c>
      <c r="AJ755" s="440">
        <f t="shared" si="844"/>
        <v>2597.0930000000003</v>
      </c>
      <c r="AK755" s="439">
        <f t="shared" si="844"/>
        <v>2757.1759999999999</v>
      </c>
      <c r="AL755" s="439">
        <f t="shared" si="844"/>
        <v>3149.701</v>
      </c>
      <c r="AM755" s="439">
        <f t="shared" si="844"/>
        <v>2938</v>
      </c>
      <c r="AN755" s="439">
        <f t="shared" si="844"/>
        <v>3222</v>
      </c>
      <c r="AO755" s="440">
        <f t="shared" si="844"/>
        <v>3222</v>
      </c>
      <c r="AP755" s="439">
        <v>2825</v>
      </c>
      <c r="AQ755" s="439">
        <v>3110</v>
      </c>
      <c r="AR755" s="439">
        <v>3252</v>
      </c>
      <c r="AS755" s="439">
        <f t="shared" si="839"/>
        <v>3855</v>
      </c>
      <c r="AT755" s="440">
        <v>3855</v>
      </c>
      <c r="AU755" s="439">
        <v>4073</v>
      </c>
      <c r="AV755" s="439">
        <v>4778</v>
      </c>
      <c r="AW755" s="726">
        <v>5443</v>
      </c>
      <c r="AX755" s="439">
        <f>(AX$381+AW$381+AV$381+AU$381)*AX679</f>
        <v>6479.1590959518098</v>
      </c>
      <c r="AY755" s="440">
        <f>AX755</f>
        <v>6479.1590959518098</v>
      </c>
      <c r="AZ755" s="439">
        <f>(AZ$381+AX$381+AW$381+AV$381)*AZ679</f>
        <v>7255.0017856690465</v>
      </c>
      <c r="BA755" s="439">
        <f>(BA$381+AZ$381+AX$381+AW$381)*BA679</f>
        <v>8821.1374850500833</v>
      </c>
      <c r="BB755" s="439">
        <f>(BB$381+BA$381+AZ$381+AX$381)*BB679</f>
        <v>10888.724360090273</v>
      </c>
      <c r="BC755" s="439">
        <f>(BC$381+BB$381+BA$381+AZ$381)*BC679</f>
        <v>13558.960256365719</v>
      </c>
      <c r="BD755" s="440">
        <f>BC755</f>
        <v>13558.960256365719</v>
      </c>
      <c r="BE755" s="440">
        <f>BE$381*BE679</f>
        <v>16717.008709776823</v>
      </c>
      <c r="BF755" s="440">
        <f>BF$381*BF679</f>
        <v>20485.169247698002</v>
      </c>
      <c r="BG755" s="440">
        <f>BG$381*BG679</f>
        <v>25115.868777129217</v>
      </c>
      <c r="BH755" s="361"/>
    </row>
    <row r="756" spans="1:60" s="356" customFormat="1" x14ac:dyDescent="0.25">
      <c r="A756" s="526" t="s">
        <v>195</v>
      </c>
      <c r="B756" s="450"/>
      <c r="C756" s="440">
        <v>1.377</v>
      </c>
      <c r="D756" s="440">
        <v>4.6349999999999998</v>
      </c>
      <c r="E756" s="440">
        <v>2.3450000000000002</v>
      </c>
      <c r="F756" s="440">
        <v>1.905</v>
      </c>
      <c r="G756" s="439">
        <v>3.7010000000000001</v>
      </c>
      <c r="H756" s="439">
        <v>29.780999999999999</v>
      </c>
      <c r="I756" s="439">
        <v>63.738999999999997</v>
      </c>
      <c r="J756" s="439">
        <f>K756</f>
        <v>91.882000000000005</v>
      </c>
      <c r="K756" s="440">
        <v>91.882000000000005</v>
      </c>
      <c r="L756" s="439">
        <v>112.74</v>
      </c>
      <c r="M756" s="439">
        <v>139.43600000000001</v>
      </c>
      <c r="N756" s="439">
        <v>161.57</v>
      </c>
      <c r="O756" s="439">
        <f>P756</f>
        <v>191.65100000000001</v>
      </c>
      <c r="P756" s="440">
        <v>191.65100000000001</v>
      </c>
      <c r="Q756" s="439">
        <v>226.47399999999999</v>
      </c>
      <c r="R756" s="439">
        <v>288.52699999999999</v>
      </c>
      <c r="S756" s="439">
        <v>348.11700000000002</v>
      </c>
      <c r="T756" s="439">
        <f>U756</f>
        <v>423.96100000000001</v>
      </c>
      <c r="U756" s="440">
        <v>423.96100000000001</v>
      </c>
      <c r="V756" s="439">
        <v>516.62</v>
      </c>
      <c r="W756" s="439">
        <v>558.81600000000003</v>
      </c>
      <c r="X756" s="439">
        <v>625.899</v>
      </c>
      <c r="Y756" s="439">
        <f t="shared" si="835"/>
        <v>763.12599999999998</v>
      </c>
      <c r="Z756" s="440">
        <v>763.12599999999998</v>
      </c>
      <c r="AA756" s="439">
        <v>841.49400000000003</v>
      </c>
      <c r="AB756" s="439">
        <v>913.39800000000002</v>
      </c>
      <c r="AC756" s="439">
        <v>951.73400000000004</v>
      </c>
      <c r="AD756" s="439">
        <f t="shared" si="836"/>
        <v>1015.253</v>
      </c>
      <c r="AE756" s="440">
        <v>1015.253</v>
      </c>
      <c r="AF756" s="439">
        <v>536.46500000000003</v>
      </c>
      <c r="AG756" s="439">
        <v>576.32100000000003</v>
      </c>
      <c r="AH756" s="439">
        <v>570.91999999999996</v>
      </c>
      <c r="AI756" s="439">
        <f t="shared" si="837"/>
        <v>630.29200000000003</v>
      </c>
      <c r="AJ756" s="440">
        <v>630.29200000000003</v>
      </c>
      <c r="AK756" s="439">
        <v>762.81</v>
      </c>
      <c r="AL756" s="439">
        <v>883.29300000000001</v>
      </c>
      <c r="AM756" s="439">
        <v>1045</v>
      </c>
      <c r="AN756" s="439">
        <f t="shared" si="838"/>
        <v>1163</v>
      </c>
      <c r="AO756" s="440">
        <v>1163</v>
      </c>
      <c r="AP756" s="439">
        <v>1186</v>
      </c>
      <c r="AQ756" s="439">
        <v>1130</v>
      </c>
      <c r="AR756" s="439">
        <v>1258</v>
      </c>
      <c r="AS756" s="439">
        <f t="shared" si="839"/>
        <v>1458</v>
      </c>
      <c r="AT756" s="440">
        <v>1458</v>
      </c>
      <c r="AU756" s="439">
        <v>1592</v>
      </c>
      <c r="AV756" s="439">
        <v>1693</v>
      </c>
      <c r="AW756" s="726">
        <v>1801</v>
      </c>
      <c r="AX756" s="439">
        <f>(AX$381+AW$381+AV$381+AU$381)*AX680</f>
        <v>2450.4835180020073</v>
      </c>
      <c r="AY756" s="440">
        <f>AX756</f>
        <v>2450.4835180020073</v>
      </c>
      <c r="AZ756" s="439">
        <f>(AZ$381+AX$381+AW$381+AV$381)*AZ680</f>
        <v>2835.7384833746924</v>
      </c>
      <c r="BA756" s="439">
        <f>(BA$381+AZ$381+AX$381+AW$381)*BA680</f>
        <v>3125.6144332753852</v>
      </c>
      <c r="BB756" s="439">
        <f>(BB$381+BA$381+AZ$381+AX$381)*BB680</f>
        <v>3602.9014463572626</v>
      </c>
      <c r="BC756" s="439">
        <f>(BC$381+BB$381+BA$381+AZ$381)*BC680</f>
        <v>5128.1359413180853</v>
      </c>
      <c r="BD756" s="440">
        <f>BC756</f>
        <v>5128.1359413180853</v>
      </c>
      <c r="BE756" s="440">
        <f>BE381*BE680</f>
        <v>6322.541815526487</v>
      </c>
      <c r="BF756" s="440">
        <f>BF381*BF680</f>
        <v>7747.698252436754</v>
      </c>
      <c r="BG756" s="440">
        <f>BG381*BG680</f>
        <v>9499.0756620115171</v>
      </c>
      <c r="BH756" s="361"/>
    </row>
    <row r="757" spans="1:60" s="356" customFormat="1" x14ac:dyDescent="0.25">
      <c r="A757" s="526" t="s">
        <v>273</v>
      </c>
      <c r="B757" s="450"/>
      <c r="C757" s="440">
        <v>0.28999999999999998</v>
      </c>
      <c r="D757" s="440">
        <v>0.27900000000000003</v>
      </c>
      <c r="E757" s="440">
        <v>1.0669999999999999</v>
      </c>
      <c r="F757" s="440">
        <v>4.3650000000000002</v>
      </c>
      <c r="G757" s="439">
        <v>5.452</v>
      </c>
      <c r="H757" s="439">
        <v>5.6950000000000003</v>
      </c>
      <c r="I757" s="439">
        <v>5.9710000000000001</v>
      </c>
      <c r="J757" s="439">
        <f>K757</f>
        <v>7.7220000000000004</v>
      </c>
      <c r="K757" s="440">
        <v>7.7220000000000004</v>
      </c>
      <c r="L757" s="439">
        <v>8.3970000000000002</v>
      </c>
      <c r="M757" s="439">
        <v>9.6999999999999993</v>
      </c>
      <c r="N757" s="439">
        <v>9.5920000000000005</v>
      </c>
      <c r="O757" s="439">
        <f>P757</f>
        <v>0</v>
      </c>
      <c r="P757" s="440">
        <v>0</v>
      </c>
      <c r="Q757" s="439">
        <v>9.6219999999999999</v>
      </c>
      <c r="R757" s="439">
        <v>6.1130000000000004</v>
      </c>
      <c r="S757" s="439">
        <v>13</v>
      </c>
      <c r="T757" s="439">
        <f>U757</f>
        <v>0</v>
      </c>
      <c r="U757" s="440">
        <v>0</v>
      </c>
      <c r="V757" s="439">
        <v>0</v>
      </c>
      <c r="W757" s="439"/>
      <c r="X757" s="439"/>
      <c r="Y757" s="439">
        <f t="shared" si="835"/>
        <v>0</v>
      </c>
      <c r="Z757" s="440">
        <v>0</v>
      </c>
      <c r="AA757" s="439"/>
      <c r="AB757" s="439"/>
      <c r="AC757" s="439"/>
      <c r="AD757" s="439">
        <f t="shared" si="836"/>
        <v>0</v>
      </c>
      <c r="AE757" s="440">
        <v>0</v>
      </c>
      <c r="AF757" s="439"/>
      <c r="AG757" s="439"/>
      <c r="AH757" s="439"/>
      <c r="AI757" s="439">
        <f t="shared" si="837"/>
        <v>0</v>
      </c>
      <c r="AJ757" s="440"/>
      <c r="AK757" s="439"/>
      <c r="AL757" s="439"/>
      <c r="AM757" s="439"/>
      <c r="AN757" s="439">
        <f t="shared" si="838"/>
        <v>0</v>
      </c>
      <c r="AO757" s="440"/>
      <c r="AP757" s="439"/>
      <c r="AQ757" s="439"/>
      <c r="AR757" s="439"/>
      <c r="AS757" s="439">
        <f t="shared" si="839"/>
        <v>0</v>
      </c>
      <c r="AT757" s="440"/>
      <c r="AU757" s="439"/>
      <c r="AV757" s="439"/>
      <c r="AW757" s="726"/>
      <c r="AX757" s="439"/>
      <c r="AY757" s="440"/>
      <c r="AZ757" s="439"/>
      <c r="BA757" s="439"/>
      <c r="BB757" s="439"/>
      <c r="BC757" s="439"/>
      <c r="BD757" s="440"/>
      <c r="BE757" s="440"/>
      <c r="BF757" s="440"/>
      <c r="BG757" s="440"/>
      <c r="BH757" s="361"/>
    </row>
    <row r="758" spans="1:60" s="356" customFormat="1" x14ac:dyDescent="0.25">
      <c r="A758" s="526" t="s">
        <v>194</v>
      </c>
      <c r="B758" s="450"/>
      <c r="C758" s="440">
        <v>0.156</v>
      </c>
      <c r="D758" s="440">
        <v>0</v>
      </c>
      <c r="E758" s="440">
        <v>0</v>
      </c>
      <c r="F758" s="440">
        <v>0</v>
      </c>
      <c r="G758" s="439">
        <v>0</v>
      </c>
      <c r="H758" s="439">
        <v>0</v>
      </c>
      <c r="I758" s="439">
        <v>0</v>
      </c>
      <c r="J758" s="439">
        <v>0</v>
      </c>
      <c r="K758" s="440">
        <v>0</v>
      </c>
      <c r="L758" s="439">
        <v>0</v>
      </c>
      <c r="M758" s="439">
        <v>0</v>
      </c>
      <c r="N758" s="439">
        <v>0</v>
      </c>
      <c r="O758" s="439">
        <v>0</v>
      </c>
      <c r="P758" s="440">
        <v>0</v>
      </c>
      <c r="Q758" s="439">
        <v>0</v>
      </c>
      <c r="R758" s="439">
        <v>0</v>
      </c>
      <c r="S758" s="439">
        <v>0</v>
      </c>
      <c r="T758" s="439">
        <v>0</v>
      </c>
      <c r="U758" s="440">
        <v>0</v>
      </c>
      <c r="V758" s="439">
        <v>0</v>
      </c>
      <c r="W758" s="439"/>
      <c r="X758" s="439"/>
      <c r="Y758" s="439">
        <f t="shared" si="835"/>
        <v>0</v>
      </c>
      <c r="Z758" s="440">
        <v>0</v>
      </c>
      <c r="AA758" s="439"/>
      <c r="AB758" s="439"/>
      <c r="AC758" s="439"/>
      <c r="AD758" s="439">
        <f t="shared" si="836"/>
        <v>0</v>
      </c>
      <c r="AE758" s="440">
        <v>0</v>
      </c>
      <c r="AF758" s="439"/>
      <c r="AG758" s="439"/>
      <c r="AH758" s="439"/>
      <c r="AI758" s="439">
        <f t="shared" si="837"/>
        <v>0</v>
      </c>
      <c r="AJ758" s="440"/>
      <c r="AK758" s="439"/>
      <c r="AL758" s="439"/>
      <c r="AM758" s="439"/>
      <c r="AN758" s="439">
        <f t="shared" si="838"/>
        <v>0</v>
      </c>
      <c r="AO758" s="440"/>
      <c r="AP758" s="439"/>
      <c r="AQ758" s="439"/>
      <c r="AR758" s="439"/>
      <c r="AS758" s="439">
        <f t="shared" si="839"/>
        <v>0</v>
      </c>
      <c r="AT758" s="440"/>
      <c r="AU758" s="439"/>
      <c r="AV758" s="439"/>
      <c r="AW758" s="726"/>
      <c r="AX758" s="439">
        <f t="shared" ref="AX758:BG758" si="845">AW758</f>
        <v>0</v>
      </c>
      <c r="AY758" s="440">
        <f t="shared" si="845"/>
        <v>0</v>
      </c>
      <c r="AZ758" s="439">
        <f t="shared" si="845"/>
        <v>0</v>
      </c>
      <c r="BA758" s="439">
        <f t="shared" si="845"/>
        <v>0</v>
      </c>
      <c r="BB758" s="439">
        <f t="shared" si="845"/>
        <v>0</v>
      </c>
      <c r="BC758" s="439">
        <f t="shared" si="845"/>
        <v>0</v>
      </c>
      <c r="BD758" s="440">
        <f t="shared" si="845"/>
        <v>0</v>
      </c>
      <c r="BE758" s="440">
        <f t="shared" si="845"/>
        <v>0</v>
      </c>
      <c r="BF758" s="440">
        <f t="shared" si="845"/>
        <v>0</v>
      </c>
      <c r="BG758" s="440">
        <f t="shared" si="845"/>
        <v>0</v>
      </c>
      <c r="BH758" s="361"/>
    </row>
    <row r="759" spans="1:60" s="356" customFormat="1" x14ac:dyDescent="0.25">
      <c r="A759" s="526" t="s">
        <v>196</v>
      </c>
      <c r="B759" s="450"/>
      <c r="C759" s="440">
        <v>26.047999999999998</v>
      </c>
      <c r="D759" s="440">
        <v>30.754999999999999</v>
      </c>
      <c r="E759" s="440">
        <v>91.760999999999996</v>
      </c>
      <c r="F759" s="440">
        <v>138.81700000000001</v>
      </c>
      <c r="G759" s="439">
        <v>130.714</v>
      </c>
      <c r="H759" s="439">
        <v>133.71600000000001</v>
      </c>
      <c r="I759" s="439">
        <v>140.27699999999999</v>
      </c>
      <c r="J759" s="439">
        <f>K759</f>
        <v>163.15299999999999</v>
      </c>
      <c r="K759" s="440">
        <v>163.15299999999999</v>
      </c>
      <c r="L759" s="439">
        <v>198.006</v>
      </c>
      <c r="M759" s="439">
        <v>228.017</v>
      </c>
      <c r="N759" s="439">
        <v>227.05600000000001</v>
      </c>
      <c r="O759" s="439">
        <f>P759</f>
        <v>257.58699999999999</v>
      </c>
      <c r="P759" s="440">
        <v>257.58699999999999</v>
      </c>
      <c r="Q759" s="439">
        <v>249.476</v>
      </c>
      <c r="R759" s="439">
        <v>272.84800000000001</v>
      </c>
      <c r="S759" s="439">
        <v>269.54500000000002</v>
      </c>
      <c r="T759" s="439">
        <f>U759</f>
        <v>283.37</v>
      </c>
      <c r="U759" s="440">
        <v>283.37</v>
      </c>
      <c r="V759" s="439">
        <v>391.363</v>
      </c>
      <c r="W759" s="439">
        <v>679.83399999999995</v>
      </c>
      <c r="X759" s="439">
        <v>690.36400000000003</v>
      </c>
      <c r="Y759" s="439">
        <f t="shared" si="835"/>
        <v>663.85900000000004</v>
      </c>
      <c r="Z759" s="440">
        <v>663.85900000000004</v>
      </c>
      <c r="AA759" s="439">
        <v>616.39800000000002</v>
      </c>
      <c r="AB759" s="439">
        <v>603.54</v>
      </c>
      <c r="AC759" s="439">
        <v>686.08399999999995</v>
      </c>
      <c r="AD759" s="439">
        <f t="shared" si="836"/>
        <v>853.91899999999998</v>
      </c>
      <c r="AE759" s="440">
        <v>853.91899999999998</v>
      </c>
      <c r="AF759" s="439">
        <v>984.82299999999998</v>
      </c>
      <c r="AG759" s="439">
        <v>942.12900000000002</v>
      </c>
      <c r="AH759" s="439">
        <v>905.83799999999997</v>
      </c>
      <c r="AI759" s="439">
        <f t="shared" si="837"/>
        <v>792.601</v>
      </c>
      <c r="AJ759" s="440">
        <v>792.601</v>
      </c>
      <c r="AK759" s="439">
        <v>768.27599999999995</v>
      </c>
      <c r="AL759" s="439">
        <v>631.10699999999997</v>
      </c>
      <c r="AM759" s="439">
        <v>665</v>
      </c>
      <c r="AN759" s="439">
        <f t="shared" si="838"/>
        <v>726</v>
      </c>
      <c r="AO759" s="440">
        <v>726</v>
      </c>
      <c r="AP759" s="439">
        <v>788</v>
      </c>
      <c r="AQ759" s="439">
        <v>713</v>
      </c>
      <c r="AR759" s="439">
        <v>708</v>
      </c>
      <c r="AS759" s="439">
        <f t="shared" si="839"/>
        <v>752</v>
      </c>
      <c r="AT759" s="440">
        <v>752</v>
      </c>
      <c r="AU759" s="439">
        <v>745</v>
      </c>
      <c r="AV759" s="439">
        <v>812</v>
      </c>
      <c r="AW759" s="726">
        <v>831</v>
      </c>
      <c r="AX759" s="439">
        <f>(AX$381+AW$381+AV$381+AU$381)*AX681</f>
        <v>1263.8982205332713</v>
      </c>
      <c r="AY759" s="440">
        <f>AX759</f>
        <v>1263.8982205332713</v>
      </c>
      <c r="AZ759" s="439">
        <f>(AZ$381+AX$381+AW$381+AV$381)*AZ681</f>
        <v>1327.0258606244633</v>
      </c>
      <c r="BA759" s="439">
        <f>(BA$381+AZ$381+AX$381+AW$381)*BA681</f>
        <v>1499.1133607912657</v>
      </c>
      <c r="BB759" s="439">
        <f>(BB$381+BA$381+AZ$381+AX$381)*BB681</f>
        <v>1662.4159366590147</v>
      </c>
      <c r="BC759" s="439">
        <f>(BC$381+BB$381+BA$381+AZ$381)*BC681</f>
        <v>2644.9644909953363</v>
      </c>
      <c r="BD759" s="440">
        <f>BC759</f>
        <v>2644.9644909953363</v>
      </c>
      <c r="BE759" s="440">
        <f>BE381*BE681</f>
        <v>3261.0092217255956</v>
      </c>
      <c r="BF759" s="440">
        <f>BF381*BF681</f>
        <v>3996.069331846666</v>
      </c>
      <c r="BG759" s="440">
        <f>BG381*BG681</f>
        <v>4899.3860753310437</v>
      </c>
      <c r="BH759" s="361"/>
    </row>
    <row r="760" spans="1:60" s="356" customFormat="1" x14ac:dyDescent="0.25">
      <c r="A760" s="526" t="s">
        <v>183</v>
      </c>
      <c r="B760" s="450"/>
      <c r="C760" s="440">
        <v>0</v>
      </c>
      <c r="D760" s="440">
        <v>0</v>
      </c>
      <c r="E760" s="440">
        <v>0</v>
      </c>
      <c r="F760" s="440">
        <v>0</v>
      </c>
      <c r="G760" s="439">
        <v>0</v>
      </c>
      <c r="H760" s="439">
        <v>0</v>
      </c>
      <c r="I760" s="439">
        <v>0</v>
      </c>
      <c r="J760" s="439">
        <v>0</v>
      </c>
      <c r="K760" s="440">
        <v>0</v>
      </c>
      <c r="L760" s="439">
        <v>0</v>
      </c>
      <c r="M760" s="439">
        <v>0</v>
      </c>
      <c r="N760" s="439">
        <v>0</v>
      </c>
      <c r="O760" s="439">
        <v>0</v>
      </c>
      <c r="P760" s="440">
        <v>0</v>
      </c>
      <c r="Q760" s="439">
        <v>0</v>
      </c>
      <c r="R760" s="439">
        <v>0</v>
      </c>
      <c r="S760" s="439">
        <v>0</v>
      </c>
      <c r="T760" s="439">
        <v>0</v>
      </c>
      <c r="U760" s="440">
        <v>0</v>
      </c>
      <c r="V760" s="439">
        <v>0</v>
      </c>
      <c r="W760" s="439"/>
      <c r="X760" s="439"/>
      <c r="Y760" s="439">
        <f t="shared" si="835"/>
        <v>0</v>
      </c>
      <c r="Z760" s="440">
        <v>0</v>
      </c>
      <c r="AA760" s="439"/>
      <c r="AB760" s="439"/>
      <c r="AC760" s="439"/>
      <c r="AD760" s="439">
        <f t="shared" si="836"/>
        <v>0</v>
      </c>
      <c r="AE760" s="440">
        <v>0</v>
      </c>
      <c r="AF760" s="439"/>
      <c r="AG760" s="439"/>
      <c r="AH760" s="439"/>
      <c r="AI760" s="439">
        <f t="shared" si="837"/>
        <v>0</v>
      </c>
      <c r="AJ760" s="440"/>
      <c r="AK760" s="439"/>
      <c r="AL760" s="439"/>
      <c r="AM760" s="439"/>
      <c r="AN760" s="439">
        <f t="shared" si="838"/>
        <v>0</v>
      </c>
      <c r="AO760" s="440"/>
      <c r="AP760" s="439"/>
      <c r="AQ760" s="439"/>
      <c r="AR760" s="439"/>
      <c r="AS760" s="439">
        <f t="shared" si="839"/>
        <v>0</v>
      </c>
      <c r="AT760" s="440"/>
      <c r="AU760" s="439"/>
      <c r="AV760" s="439"/>
      <c r="AW760" s="726"/>
      <c r="AX760" s="439">
        <f>AW760+AX598</f>
        <v>0</v>
      </c>
      <c r="AY760" s="440">
        <f>AX760</f>
        <v>0</v>
      </c>
      <c r="AZ760" s="439">
        <f ca="1">AY760+AZ598</f>
        <v>0</v>
      </c>
      <c r="BA760" s="439">
        <f ca="1">AZ760+BA598</f>
        <v>0</v>
      </c>
      <c r="BB760" s="439">
        <f ca="1">BA760+BB598</f>
        <v>0</v>
      </c>
      <c r="BC760" s="439">
        <f ca="1">BB760+BC598</f>
        <v>0</v>
      </c>
      <c r="BD760" s="440">
        <f ca="1">BC760</f>
        <v>0</v>
      </c>
      <c r="BE760" s="440">
        <f ca="1">BD760+BE598</f>
        <v>0</v>
      </c>
      <c r="BF760" s="440">
        <f ca="1">BE760+BF598</f>
        <v>0</v>
      </c>
      <c r="BG760" s="440">
        <f ca="1">BF760+BG598</f>
        <v>0</v>
      </c>
      <c r="BH760" s="361"/>
    </row>
    <row r="761" spans="1:60" s="356" customFormat="1" x14ac:dyDescent="0.25">
      <c r="A761" s="526" t="s">
        <v>275</v>
      </c>
      <c r="B761" s="450"/>
      <c r="C761" s="440"/>
      <c r="D761" s="440"/>
      <c r="E761" s="440">
        <v>7.9160000000000004</v>
      </c>
      <c r="F761" s="440">
        <v>50.841000000000001</v>
      </c>
      <c r="G761" s="439">
        <v>50.841000000000001</v>
      </c>
      <c r="H761" s="439"/>
      <c r="I761" s="439">
        <v>582.50199999999995</v>
      </c>
      <c r="J761" s="439">
        <f>K761</f>
        <v>0.182</v>
      </c>
      <c r="K761" s="440">
        <v>0.182</v>
      </c>
      <c r="L761" s="439">
        <v>589.875</v>
      </c>
      <c r="M761" s="439">
        <v>593.71199999999999</v>
      </c>
      <c r="N761" s="439">
        <v>597.62599999999998</v>
      </c>
      <c r="O761" s="439">
        <f>P761</f>
        <v>611.09900000000005</v>
      </c>
      <c r="P761" s="440">
        <v>611.09900000000005</v>
      </c>
      <c r="Q761" s="439">
        <v>620.71</v>
      </c>
      <c r="R761" s="439">
        <v>632.16200000000003</v>
      </c>
      <c r="S761" s="439">
        <v>638.80899999999997</v>
      </c>
      <c r="T761" s="439">
        <f>U761</f>
        <v>633.16600000000005</v>
      </c>
      <c r="U761" s="440">
        <v>633.16600000000005</v>
      </c>
      <c r="V761" s="439">
        <v>635.28499999999997</v>
      </c>
      <c r="W761" s="439">
        <v>626.82600000000002</v>
      </c>
      <c r="X761" s="439">
        <v>260.77100000000002</v>
      </c>
      <c r="Y761" s="439">
        <f t="shared" si="835"/>
        <v>1150.1469999999999</v>
      </c>
      <c r="Z761" s="440">
        <v>1150.1469999999999</v>
      </c>
      <c r="AA761" s="439">
        <v>829.08</v>
      </c>
      <c r="AB761" s="439">
        <v>716.53300000000002</v>
      </c>
      <c r="AC761" s="439">
        <v>324.22399999999999</v>
      </c>
      <c r="AD761" s="439">
        <f t="shared" si="836"/>
        <v>796.54899999999998</v>
      </c>
      <c r="AE761" s="440">
        <v>796.54899999999998</v>
      </c>
      <c r="AF761" s="439">
        <v>1915.53</v>
      </c>
      <c r="AG761" s="439">
        <v>2020.6849999999999</v>
      </c>
      <c r="AH761" s="439">
        <v>2106.538</v>
      </c>
      <c r="AI761" s="439">
        <f t="shared" si="837"/>
        <v>2567.6990000000001</v>
      </c>
      <c r="AJ761" s="440">
        <v>2567.6990000000001</v>
      </c>
      <c r="AK761" s="439">
        <v>1705.711</v>
      </c>
      <c r="AL761" s="439">
        <v>1791.085</v>
      </c>
      <c r="AM761" s="439">
        <v>2030</v>
      </c>
      <c r="AN761" s="439">
        <f t="shared" si="838"/>
        <v>1785</v>
      </c>
      <c r="AO761" s="440">
        <v>1785</v>
      </c>
      <c r="AP761" s="439">
        <v>3217</v>
      </c>
      <c r="AQ761" s="439">
        <v>3679</v>
      </c>
      <c r="AR761" s="439">
        <v>3126</v>
      </c>
      <c r="AS761" s="439">
        <f t="shared" si="839"/>
        <v>2132</v>
      </c>
      <c r="AT761" s="440">
        <v>2132</v>
      </c>
      <c r="AU761" s="439">
        <v>1819</v>
      </c>
      <c r="AV761" s="439">
        <v>1530</v>
      </c>
      <c r="AW761" s="726">
        <v>1716</v>
      </c>
      <c r="AX761" s="439">
        <f>AX453</f>
        <v>1716</v>
      </c>
      <c r="AY761" s="440">
        <f>AX761</f>
        <v>1716</v>
      </c>
      <c r="AZ761" s="439">
        <f>AZ453</f>
        <v>1716</v>
      </c>
      <c r="BA761" s="439">
        <f>BA453</f>
        <v>1716</v>
      </c>
      <c r="BB761" s="439">
        <f>BB453</f>
        <v>1716</v>
      </c>
      <c r="BC761" s="439">
        <f>BC453</f>
        <v>1716</v>
      </c>
      <c r="BD761" s="440">
        <f>BC761</f>
        <v>1716</v>
      </c>
      <c r="BE761" s="440">
        <f>BE453</f>
        <v>1716</v>
      </c>
      <c r="BF761" s="440">
        <f>BF453</f>
        <v>1716</v>
      </c>
      <c r="BG761" s="440">
        <f>BG453</f>
        <v>1716</v>
      </c>
      <c r="BH761" s="361"/>
    </row>
    <row r="762" spans="1:60" s="356" customFormat="1" x14ac:dyDescent="0.25">
      <c r="A762" s="466" t="s">
        <v>276</v>
      </c>
      <c r="B762" s="527"/>
      <c r="C762" s="479"/>
      <c r="D762" s="479"/>
      <c r="E762" s="479"/>
      <c r="F762" s="479"/>
      <c r="G762" s="459"/>
      <c r="H762" s="459"/>
      <c r="I762" s="459"/>
      <c r="J762" s="459"/>
      <c r="K762" s="479"/>
      <c r="L762" s="459"/>
      <c r="M762" s="459"/>
      <c r="N762" s="459"/>
      <c r="O762" s="459"/>
      <c r="P762" s="479"/>
      <c r="Q762" s="459"/>
      <c r="R762" s="459"/>
      <c r="S762" s="459"/>
      <c r="T762" s="459"/>
      <c r="U762" s="479"/>
      <c r="V762" s="459"/>
      <c r="W762" s="459"/>
      <c r="X762" s="459"/>
      <c r="Y762" s="459"/>
      <c r="Z762" s="479"/>
      <c r="AA762" s="459">
        <v>174.23099999999999</v>
      </c>
      <c r="AB762" s="459">
        <v>100</v>
      </c>
      <c r="AC762" s="459">
        <v>100</v>
      </c>
      <c r="AD762" s="459">
        <f t="shared" si="836"/>
        <v>100</v>
      </c>
      <c r="AE762" s="479">
        <v>100</v>
      </c>
      <c r="AF762" s="459">
        <v>82.5</v>
      </c>
      <c r="AG762" s="459">
        <v>82.5</v>
      </c>
      <c r="AH762" s="459"/>
      <c r="AI762" s="459">
        <f t="shared" si="837"/>
        <v>0</v>
      </c>
      <c r="AJ762" s="479"/>
      <c r="AK762" s="459"/>
      <c r="AL762" s="459"/>
      <c r="AM762" s="459"/>
      <c r="AN762" s="459">
        <f t="shared" si="838"/>
        <v>0</v>
      </c>
      <c r="AO762" s="479"/>
      <c r="AP762" s="459"/>
      <c r="AQ762" s="459"/>
      <c r="AR762" s="459"/>
      <c r="AS762" s="459">
        <f t="shared" si="839"/>
        <v>0</v>
      </c>
      <c r="AT762" s="479"/>
      <c r="AU762" s="459"/>
      <c r="AV762" s="459"/>
      <c r="AW762" s="723"/>
      <c r="AX762" s="459"/>
      <c r="AY762" s="479"/>
      <c r="AZ762" s="459"/>
      <c r="BA762" s="459"/>
      <c r="BB762" s="459"/>
      <c r="BC762" s="459"/>
      <c r="BD762" s="479"/>
      <c r="BE762" s="479"/>
      <c r="BF762" s="479"/>
      <c r="BG762" s="479"/>
      <c r="BH762" s="361"/>
    </row>
    <row r="763" spans="1:60" s="116" customFormat="1" x14ac:dyDescent="0.25">
      <c r="A763" s="528" t="s">
        <v>277</v>
      </c>
      <c r="B763" s="529"/>
      <c r="C763" s="45">
        <f t="shared" ref="C763:AQ763" si="846">C752+SUM(C755:C762)</f>
        <v>57.488999999999997</v>
      </c>
      <c r="D763" s="45">
        <f t="shared" si="846"/>
        <v>85.564999999999998</v>
      </c>
      <c r="E763" s="45">
        <f t="shared" si="846"/>
        <v>191.339</v>
      </c>
      <c r="F763" s="45">
        <f t="shared" si="846"/>
        <v>539.10800000000006</v>
      </c>
      <c r="G763" s="44">
        <f t="shared" si="846"/>
        <v>535.62300000000005</v>
      </c>
      <c r="H763" s="44">
        <f t="shared" si="846"/>
        <v>486.54499999999996</v>
      </c>
      <c r="I763" s="44">
        <f t="shared" si="846"/>
        <v>1169.4590000000001</v>
      </c>
      <c r="J763" s="44">
        <f t="shared" si="846"/>
        <v>675.16000000000008</v>
      </c>
      <c r="K763" s="45">
        <f t="shared" si="846"/>
        <v>675.16000000000008</v>
      </c>
      <c r="L763" s="44">
        <f t="shared" si="846"/>
        <v>1413.47</v>
      </c>
      <c r="M763" s="44">
        <f t="shared" si="846"/>
        <v>1575.8500000000001</v>
      </c>
      <c r="N763" s="44">
        <f t="shared" si="846"/>
        <v>1839.777</v>
      </c>
      <c r="O763" s="44">
        <f t="shared" si="846"/>
        <v>2107.1660000000002</v>
      </c>
      <c r="P763" s="45">
        <f t="shared" si="846"/>
        <v>2107.1660000000002</v>
      </c>
      <c r="Q763" s="44">
        <f t="shared" si="846"/>
        <v>2192.3809999999999</v>
      </c>
      <c r="R763" s="44">
        <f t="shared" si="846"/>
        <v>2384.3879999999999</v>
      </c>
      <c r="S763" s="44">
        <f t="shared" si="846"/>
        <v>2553.7710000000002</v>
      </c>
      <c r="T763" s="44">
        <f t="shared" si="846"/>
        <v>2816.2740000000003</v>
      </c>
      <c r="U763" s="45">
        <f t="shared" si="846"/>
        <v>2816.2740000000003</v>
      </c>
      <c r="V763" s="44">
        <f t="shared" si="846"/>
        <v>3187.6990000000001</v>
      </c>
      <c r="W763" s="44">
        <f t="shared" si="846"/>
        <v>3766.4039999999995</v>
      </c>
      <c r="X763" s="44">
        <f t="shared" si="846"/>
        <v>4082.3900000000003</v>
      </c>
      <c r="Y763" s="44">
        <f t="shared" si="846"/>
        <v>5827.0049999999992</v>
      </c>
      <c r="Z763" s="45">
        <f t="shared" si="846"/>
        <v>5827.0049999999992</v>
      </c>
      <c r="AA763" s="44">
        <f t="shared" si="846"/>
        <v>6245.4390000000003</v>
      </c>
      <c r="AB763" s="44">
        <f t="shared" si="846"/>
        <v>6546.3549999999996</v>
      </c>
      <c r="AC763" s="44">
        <f t="shared" si="846"/>
        <v>6468.9400000000005</v>
      </c>
      <c r="AD763" s="44">
        <f t="shared" si="846"/>
        <v>7674.67</v>
      </c>
      <c r="AE763" s="45">
        <f t="shared" si="846"/>
        <v>7674.67</v>
      </c>
      <c r="AF763" s="44">
        <f t="shared" si="846"/>
        <v>8650.3590000000004</v>
      </c>
      <c r="AG763" s="44">
        <f t="shared" si="846"/>
        <v>9141.3619999999992</v>
      </c>
      <c r="AH763" s="44">
        <f t="shared" si="846"/>
        <v>9775.3240000000005</v>
      </c>
      <c r="AI763" s="44">
        <f t="shared" si="846"/>
        <v>9992.1360000000004</v>
      </c>
      <c r="AJ763" s="45">
        <f t="shared" si="846"/>
        <v>9992.1360000000004</v>
      </c>
      <c r="AK763" s="44">
        <f t="shared" si="846"/>
        <v>9242.7999999999993</v>
      </c>
      <c r="AL763" s="44">
        <f t="shared" si="846"/>
        <v>9588.773000000001</v>
      </c>
      <c r="AM763" s="44">
        <f t="shared" si="846"/>
        <v>10146</v>
      </c>
      <c r="AN763" s="44">
        <f t="shared" si="846"/>
        <v>10667</v>
      </c>
      <c r="AO763" s="45">
        <f t="shared" si="846"/>
        <v>10667</v>
      </c>
      <c r="AP763" s="44">
        <f t="shared" si="846"/>
        <v>11986</v>
      </c>
      <c r="AQ763" s="44">
        <f t="shared" si="846"/>
        <v>12270</v>
      </c>
      <c r="AR763" s="44">
        <f t="shared" ref="AR763:AS763" si="847">AR752+SUM(AR755:AR762)</f>
        <v>13302</v>
      </c>
      <c r="AS763" s="44">
        <f t="shared" si="847"/>
        <v>14248</v>
      </c>
      <c r="AT763" s="45">
        <f t="shared" ref="AT763" si="848">AT752+SUM(AT755:AT762)</f>
        <v>14248</v>
      </c>
      <c r="AU763" s="44">
        <f t="shared" ref="AU763" si="849">AU752+SUM(AU755:AU762)</f>
        <v>14877</v>
      </c>
      <c r="AV763" s="44">
        <f t="shared" ref="AV763:BG763" si="850">AV752+SUM(AV755:AV762)</f>
        <v>16371</v>
      </c>
      <c r="AW763" s="729">
        <f t="shared" si="850"/>
        <v>18051</v>
      </c>
      <c r="AX763" s="44">
        <f t="shared" si="850"/>
        <v>22079.55164891106</v>
      </c>
      <c r="AY763" s="45">
        <f t="shared" si="850"/>
        <v>22079.55164891106</v>
      </c>
      <c r="AZ763" s="44">
        <f t="shared" ca="1" si="850"/>
        <v>24975.468037629857</v>
      </c>
      <c r="BA763" s="44">
        <f t="shared" ca="1" si="850"/>
        <v>29115.435206284696</v>
      </c>
      <c r="BB763" s="44">
        <f t="shared" ca="1" si="850"/>
        <v>34394.17608342359</v>
      </c>
      <c r="BC763" s="44">
        <f t="shared" ca="1" si="850"/>
        <v>44330.880017153584</v>
      </c>
      <c r="BD763" s="45">
        <f t="shared" ca="1" si="850"/>
        <v>44330.880017153584</v>
      </c>
      <c r="BE763" s="45">
        <f t="shared" ca="1" si="850"/>
        <v>54256.409215993772</v>
      </c>
      <c r="BF763" s="45">
        <f t="shared" ca="1" si="850"/>
        <v>66099.478756189099</v>
      </c>
      <c r="BG763" s="45">
        <f t="shared" ca="1" si="850"/>
        <v>80653.449054136858</v>
      </c>
      <c r="BH763" s="368"/>
    </row>
    <row r="764" spans="1:60" s="112" customFormat="1" x14ac:dyDescent="0.25">
      <c r="A764" s="506"/>
      <c r="B764" s="507"/>
      <c r="C764" s="1045"/>
      <c r="D764" s="1045"/>
      <c r="E764" s="1045"/>
      <c r="F764" s="1045"/>
      <c r="G764" s="1046"/>
      <c r="H764" s="1046"/>
      <c r="I764" s="1046"/>
      <c r="J764" s="1046"/>
      <c r="K764" s="1045"/>
      <c r="L764" s="1046"/>
      <c r="M764" s="1046"/>
      <c r="N764" s="1046"/>
      <c r="O764" s="1046"/>
      <c r="P764" s="1045"/>
      <c r="Q764" s="1046"/>
      <c r="R764" s="1046"/>
      <c r="S764" s="1046"/>
      <c r="T764" s="1046"/>
      <c r="U764" s="1045"/>
      <c r="V764" s="1046"/>
      <c r="W764" s="1046"/>
      <c r="X764" s="1046"/>
      <c r="Y764" s="1046"/>
      <c r="Z764" s="1045"/>
      <c r="AA764" s="1046"/>
      <c r="AB764" s="1046"/>
      <c r="AC764" s="1046"/>
      <c r="AD764" s="1046"/>
      <c r="AE764" s="1045"/>
      <c r="AF764" s="1046"/>
      <c r="AG764" s="1046"/>
      <c r="AH764" s="1046"/>
      <c r="AI764" s="1046"/>
      <c r="AJ764" s="1045"/>
      <c r="AK764" s="1046"/>
      <c r="AL764" s="1046"/>
      <c r="AM764" s="1046"/>
      <c r="AN764" s="1046"/>
      <c r="AO764" s="1045"/>
      <c r="AP764" s="1046"/>
      <c r="AQ764" s="1046"/>
      <c r="AR764" s="1046"/>
      <c r="AS764" s="1046"/>
      <c r="AT764" s="1045"/>
      <c r="AU764" s="1046"/>
      <c r="AV764" s="1046"/>
      <c r="AW764" s="1047"/>
      <c r="AX764" s="1046"/>
      <c r="AY764" s="1045"/>
      <c r="AZ764" s="1046"/>
      <c r="BA764" s="1046"/>
      <c r="BB764" s="1046"/>
      <c r="BC764" s="1046"/>
      <c r="BD764" s="1045"/>
      <c r="BE764" s="1045"/>
      <c r="BF764" s="1045"/>
      <c r="BG764" s="1045"/>
      <c r="BH764" s="1034"/>
    </row>
    <row r="765" spans="1:60" s="112" customFormat="1" x14ac:dyDescent="0.25">
      <c r="A765" s="514" t="s">
        <v>278</v>
      </c>
      <c r="B765" s="507"/>
      <c r="C765" s="1045"/>
      <c r="D765" s="1045"/>
      <c r="E765" s="1045"/>
      <c r="F765" s="1045"/>
      <c r="G765" s="1046"/>
      <c r="H765" s="1046"/>
      <c r="I765" s="1046"/>
      <c r="J765" s="1046"/>
      <c r="K765" s="1045"/>
      <c r="L765" s="1046"/>
      <c r="M765" s="1046"/>
      <c r="N765" s="1046"/>
      <c r="O765" s="1046"/>
      <c r="P765" s="1045"/>
      <c r="Q765" s="1046"/>
      <c r="R765" s="1046"/>
      <c r="S765" s="1046"/>
      <c r="T765" s="1046"/>
      <c r="U765" s="1045"/>
      <c r="V765" s="1046"/>
      <c r="W765" s="1046"/>
      <c r="X765" s="1046"/>
      <c r="Y765" s="1046"/>
      <c r="Z765" s="1045"/>
      <c r="AA765" s="1046"/>
      <c r="AB765" s="1046"/>
      <c r="AC765" s="1046"/>
      <c r="AD765" s="1046"/>
      <c r="AE765" s="1045"/>
      <c r="AF765" s="1046"/>
      <c r="AG765" s="1046"/>
      <c r="AH765" s="1046"/>
      <c r="AI765" s="1046"/>
      <c r="AJ765" s="1045"/>
      <c r="AK765" s="1046"/>
      <c r="AL765" s="1046"/>
      <c r="AM765" s="1046"/>
      <c r="AN765" s="1046"/>
      <c r="AO765" s="1045"/>
      <c r="AP765" s="1046"/>
      <c r="AQ765" s="1046"/>
      <c r="AR765" s="1046"/>
      <c r="AS765" s="1046"/>
      <c r="AT765" s="1045"/>
      <c r="AU765" s="1046"/>
      <c r="AV765" s="1046"/>
      <c r="AW765" s="1047"/>
      <c r="AX765" s="1046"/>
      <c r="AY765" s="1045"/>
      <c r="AZ765" s="1046"/>
      <c r="BA765" s="1046"/>
      <c r="BB765" s="1046"/>
      <c r="BC765" s="1046"/>
      <c r="BD765" s="1045"/>
      <c r="BE765" s="1045"/>
      <c r="BF765" s="1045"/>
      <c r="BG765" s="1045"/>
      <c r="BH765" s="1034"/>
    </row>
    <row r="766" spans="1:60" s="109" customFormat="1" x14ac:dyDescent="0.25">
      <c r="A766" s="217" t="s">
        <v>279</v>
      </c>
      <c r="B766" s="214"/>
      <c r="C766" s="1051"/>
      <c r="D766" s="1051">
        <v>6.0880000000000001</v>
      </c>
      <c r="E766" s="1051">
        <v>8.8379999999999992</v>
      </c>
      <c r="F766" s="1051">
        <v>10.692</v>
      </c>
      <c r="G766" s="1052"/>
      <c r="H766" s="1052"/>
      <c r="I766" s="1052"/>
      <c r="J766" s="1052">
        <f>K766</f>
        <v>0</v>
      </c>
      <c r="K766" s="1051"/>
      <c r="L766" s="1052"/>
      <c r="M766" s="1052"/>
      <c r="N766" s="1052"/>
      <c r="O766" s="1052">
        <f>P766</f>
        <v>0</v>
      </c>
      <c r="P766" s="1051"/>
      <c r="Q766" s="1052"/>
      <c r="R766" s="1052"/>
      <c r="S766" s="1052"/>
      <c r="T766" s="1052">
        <f>U766</f>
        <v>0</v>
      </c>
      <c r="U766" s="1051"/>
      <c r="V766" s="1052"/>
      <c r="W766" s="1052"/>
      <c r="X766" s="1052"/>
      <c r="Y766" s="1052">
        <f>Z766</f>
        <v>0</v>
      </c>
      <c r="Z766" s="1051">
        <v>0</v>
      </c>
      <c r="AA766" s="1052"/>
      <c r="AB766" s="1052"/>
      <c r="AC766" s="1052"/>
      <c r="AD766" s="1052">
        <f t="shared" ref="AD766:AD776" si="851">AE766</f>
        <v>0</v>
      </c>
      <c r="AE766" s="1051">
        <v>0</v>
      </c>
      <c r="AF766" s="1052"/>
      <c r="AG766" s="1052"/>
      <c r="AH766" s="1052"/>
      <c r="AI766" s="1052">
        <f t="shared" ref="AI766:AI776" si="852">AJ766</f>
        <v>0</v>
      </c>
      <c r="AJ766" s="1051"/>
      <c r="AK766" s="1052"/>
      <c r="AL766" s="1052"/>
      <c r="AM766" s="1052"/>
      <c r="AN766" s="1052">
        <f t="shared" ref="AN766:AN776" si="853">AO766</f>
        <v>0</v>
      </c>
      <c r="AO766" s="1051"/>
      <c r="AP766" s="1052"/>
      <c r="AQ766" s="1052"/>
      <c r="AR766" s="1052"/>
      <c r="AS766" s="1052">
        <f t="shared" ref="AS766:AS776" si="854">AT766</f>
        <v>0</v>
      </c>
      <c r="AT766" s="1051"/>
      <c r="AU766" s="1052"/>
      <c r="AV766" s="1052"/>
      <c r="AW766" s="1053"/>
      <c r="AX766" s="1052">
        <f t="shared" ref="AX766:BG766" si="855">AW766</f>
        <v>0</v>
      </c>
      <c r="AY766" s="1051">
        <f t="shared" si="855"/>
        <v>0</v>
      </c>
      <c r="AZ766" s="1052">
        <f t="shared" si="855"/>
        <v>0</v>
      </c>
      <c r="BA766" s="1052">
        <f t="shared" si="855"/>
        <v>0</v>
      </c>
      <c r="BB766" s="1052">
        <f t="shared" si="855"/>
        <v>0</v>
      </c>
      <c r="BC766" s="1052">
        <f t="shared" si="855"/>
        <v>0</v>
      </c>
      <c r="BD766" s="1051">
        <f t="shared" si="855"/>
        <v>0</v>
      </c>
      <c r="BE766" s="1051">
        <f t="shared" si="855"/>
        <v>0</v>
      </c>
      <c r="BF766" s="1051">
        <f t="shared" si="855"/>
        <v>0</v>
      </c>
      <c r="BG766" s="1051">
        <f t="shared" si="855"/>
        <v>0</v>
      </c>
      <c r="BH766" s="1024"/>
    </row>
    <row r="767" spans="1:60" s="356" customFormat="1" x14ac:dyDescent="0.25">
      <c r="A767" s="526" t="s">
        <v>280</v>
      </c>
      <c r="B767" s="450"/>
      <c r="C767" s="440">
        <v>0</v>
      </c>
      <c r="D767" s="440">
        <v>0.496</v>
      </c>
      <c r="E767" s="440">
        <v>2.83</v>
      </c>
      <c r="F767" s="440">
        <v>9.9649999999999999</v>
      </c>
      <c r="G767" s="439">
        <v>10.46</v>
      </c>
      <c r="H767" s="439">
        <v>9.2490000000000006</v>
      </c>
      <c r="I767" s="439">
        <v>10.930999999999999</v>
      </c>
      <c r="J767" s="439">
        <f>K767</f>
        <v>12.855</v>
      </c>
      <c r="K767" s="440">
        <v>12.855</v>
      </c>
      <c r="L767" s="439">
        <v>12.571999999999999</v>
      </c>
      <c r="M767" s="439">
        <v>14.099</v>
      </c>
      <c r="N767" s="439">
        <v>12.805999999999999</v>
      </c>
      <c r="O767" s="439">
        <f>P767</f>
        <v>1818.7850000000001</v>
      </c>
      <c r="P767" s="440">
        <v>1818.7850000000001</v>
      </c>
      <c r="Q767" s="439">
        <v>11.265000000000001</v>
      </c>
      <c r="R767" s="439">
        <v>11.254</v>
      </c>
      <c r="S767" s="439">
        <v>15.032999999999999</v>
      </c>
      <c r="T767" s="439">
        <f>U767</f>
        <v>2040.375</v>
      </c>
      <c r="U767" s="440">
        <v>2040.375</v>
      </c>
      <c r="V767" s="439">
        <v>2484.3290000000002</v>
      </c>
      <c r="W767" s="439">
        <v>2620.002</v>
      </c>
      <c r="X767" s="439">
        <v>2443.42</v>
      </c>
      <c r="Y767" s="439">
        <f>Z767</f>
        <v>5969.5</v>
      </c>
      <c r="Z767" s="440">
        <v>5969.5</v>
      </c>
      <c r="AA767" s="439">
        <v>7148.4160000000002</v>
      </c>
      <c r="AB767" s="439">
        <v>7122.8620000000001</v>
      </c>
      <c r="AC767" s="439">
        <v>9581.616</v>
      </c>
      <c r="AD767" s="439">
        <f t="shared" si="851"/>
        <v>9415.7000000000007</v>
      </c>
      <c r="AE767" s="440">
        <v>9415.7000000000007</v>
      </c>
      <c r="AF767" s="439">
        <v>8761.07</v>
      </c>
      <c r="AG767" s="439">
        <v>9510.6959999999999</v>
      </c>
      <c r="AH767" s="439">
        <v>9669.8790000000008</v>
      </c>
      <c r="AI767" s="439">
        <f t="shared" si="852"/>
        <v>9403.6720000000005</v>
      </c>
      <c r="AJ767" s="440">
        <v>9403.6720000000005</v>
      </c>
      <c r="AK767" s="439">
        <v>9787.9500000000007</v>
      </c>
      <c r="AL767" s="439">
        <v>11234.401</v>
      </c>
      <c r="AM767" s="439">
        <v>11313</v>
      </c>
      <c r="AN767" s="439">
        <f t="shared" si="853"/>
        <v>11634</v>
      </c>
      <c r="AO767" s="440">
        <v>11634</v>
      </c>
      <c r="AP767" s="439">
        <v>10666</v>
      </c>
      <c r="AQ767" s="439">
        <v>10416</v>
      </c>
      <c r="AR767" s="439">
        <v>10559</v>
      </c>
      <c r="AS767" s="439">
        <f t="shared" si="854"/>
        <v>9556</v>
      </c>
      <c r="AT767" s="440">
        <v>9556</v>
      </c>
      <c r="AU767" s="439">
        <v>9053</v>
      </c>
      <c r="AV767" s="439">
        <v>7871</v>
      </c>
      <c r="AW767" s="726">
        <v>6438</v>
      </c>
      <c r="AX767" s="439">
        <f>AX454</f>
        <v>6438</v>
      </c>
      <c r="AY767" s="440">
        <f>AX767</f>
        <v>6438</v>
      </c>
      <c r="AZ767" s="439">
        <f>AZ454</f>
        <v>6438</v>
      </c>
      <c r="BA767" s="439">
        <f>BA454</f>
        <v>6438</v>
      </c>
      <c r="BB767" s="439">
        <f>BB454</f>
        <v>6438</v>
      </c>
      <c r="BC767" s="439">
        <f>BC454</f>
        <v>6438</v>
      </c>
      <c r="BD767" s="440">
        <f>BC767</f>
        <v>6438</v>
      </c>
      <c r="BE767" s="440">
        <f>BE454</f>
        <v>6438</v>
      </c>
      <c r="BF767" s="440">
        <f>BF454</f>
        <v>6438</v>
      </c>
      <c r="BG767" s="440">
        <f>BG454</f>
        <v>6438</v>
      </c>
      <c r="BH767" s="361"/>
    </row>
    <row r="768" spans="1:60" s="356" customFormat="1" x14ac:dyDescent="0.25">
      <c r="A768" s="526" t="s">
        <v>281</v>
      </c>
      <c r="B768" s="450"/>
      <c r="C768" s="440"/>
      <c r="D768" s="440"/>
      <c r="E768" s="440"/>
      <c r="F768" s="440"/>
      <c r="G768" s="439"/>
      <c r="H768" s="439"/>
      <c r="I768" s="439"/>
      <c r="J768" s="439"/>
      <c r="K768" s="440"/>
      <c r="L768" s="439"/>
      <c r="M768" s="439"/>
      <c r="N768" s="439"/>
      <c r="O768" s="439"/>
      <c r="P768" s="440"/>
      <c r="Q768" s="439"/>
      <c r="R768" s="439"/>
      <c r="S768" s="439"/>
      <c r="T768" s="439"/>
      <c r="U768" s="440"/>
      <c r="V768" s="439"/>
      <c r="W768" s="439"/>
      <c r="X768" s="439"/>
      <c r="Y768" s="439"/>
      <c r="Z768" s="440"/>
      <c r="AA768" s="439">
        <v>0.1</v>
      </c>
      <c r="AB768" s="439">
        <v>0.1</v>
      </c>
      <c r="AC768" s="439">
        <v>0.1</v>
      </c>
      <c r="AD768" s="439">
        <f t="shared" si="851"/>
        <v>0.1</v>
      </c>
      <c r="AE768" s="440">
        <v>0.1</v>
      </c>
      <c r="AF768" s="439">
        <v>0.1</v>
      </c>
      <c r="AG768" s="439">
        <v>0.1</v>
      </c>
      <c r="AH768" s="439">
        <v>0.1</v>
      </c>
      <c r="AI768" s="439">
        <f t="shared" si="852"/>
        <v>0</v>
      </c>
      <c r="AJ768" s="440"/>
      <c r="AK768" s="439"/>
      <c r="AL768" s="439"/>
      <c r="AM768" s="439"/>
      <c r="AN768" s="439">
        <f t="shared" si="853"/>
        <v>0</v>
      </c>
      <c r="AO768" s="440"/>
      <c r="AP768" s="439"/>
      <c r="AQ768" s="439"/>
      <c r="AR768" s="439"/>
      <c r="AS768" s="439">
        <f t="shared" si="854"/>
        <v>0</v>
      </c>
      <c r="AT768" s="440"/>
      <c r="AU768" s="439"/>
      <c r="AV768" s="439"/>
      <c r="AW768" s="726"/>
      <c r="AX768" s="439">
        <f>AW768</f>
        <v>0</v>
      </c>
      <c r="AY768" s="440">
        <f>AX768</f>
        <v>0</v>
      </c>
      <c r="AZ768" s="439">
        <f t="shared" ref="AZ768:BC769" si="856">AY768</f>
        <v>0</v>
      </c>
      <c r="BA768" s="439">
        <f t="shared" si="856"/>
        <v>0</v>
      </c>
      <c r="BB768" s="439">
        <f t="shared" si="856"/>
        <v>0</v>
      </c>
      <c r="BC768" s="439">
        <f t="shared" si="856"/>
        <v>0</v>
      </c>
      <c r="BD768" s="440">
        <f>BC768</f>
        <v>0</v>
      </c>
      <c r="BE768" s="440">
        <f t="shared" ref="BE768:BG769" si="857">BD768</f>
        <v>0</v>
      </c>
      <c r="BF768" s="440">
        <f t="shared" si="857"/>
        <v>0</v>
      </c>
      <c r="BG768" s="440">
        <f t="shared" si="857"/>
        <v>0</v>
      </c>
      <c r="BH768" s="361"/>
    </row>
    <row r="769" spans="1:60" s="356" customFormat="1" x14ac:dyDescent="0.25">
      <c r="A769" s="526" t="s">
        <v>195</v>
      </c>
      <c r="B769" s="450"/>
      <c r="C769" s="440">
        <v>1.24</v>
      </c>
      <c r="D769" s="440">
        <v>2.7829999999999999</v>
      </c>
      <c r="E769" s="440">
        <v>3.1459999999999999</v>
      </c>
      <c r="F769" s="440">
        <v>3.06</v>
      </c>
      <c r="G769" s="439">
        <v>5.3230000000000004</v>
      </c>
      <c r="H769" s="439">
        <v>68.293000000000006</v>
      </c>
      <c r="I769" s="439">
        <v>131.298</v>
      </c>
      <c r="J769" s="439">
        <f>K769</f>
        <v>181.18</v>
      </c>
      <c r="K769" s="440">
        <v>181.18</v>
      </c>
      <c r="L769" s="439">
        <v>210.81700000000001</v>
      </c>
      <c r="M769" s="439">
        <v>234.98</v>
      </c>
      <c r="N769" s="439">
        <v>254.321</v>
      </c>
      <c r="O769" s="439">
        <f>P769</f>
        <v>292.27100000000002</v>
      </c>
      <c r="P769" s="440">
        <v>292.27100000000002</v>
      </c>
      <c r="Q769" s="439">
        <v>312.85000000000002</v>
      </c>
      <c r="R769" s="439">
        <v>334.62799999999999</v>
      </c>
      <c r="S769" s="439">
        <v>362.26100000000002</v>
      </c>
      <c r="T769" s="439">
        <f>U769</f>
        <v>446.10500000000002</v>
      </c>
      <c r="U769" s="440">
        <v>446.10500000000002</v>
      </c>
      <c r="V769" s="439">
        <v>496.99700000000001</v>
      </c>
      <c r="W769" s="439">
        <v>533.25300000000004</v>
      </c>
      <c r="X769" s="439">
        <v>581.202</v>
      </c>
      <c r="Y769" s="439">
        <f t="shared" ref="Y769:Y776" si="858">Z769</f>
        <v>851.79</v>
      </c>
      <c r="Z769" s="440">
        <v>851.79</v>
      </c>
      <c r="AA769" s="439">
        <v>955.07799999999997</v>
      </c>
      <c r="AB769" s="439">
        <v>1035.579</v>
      </c>
      <c r="AC769" s="439">
        <v>1082.8699999999999</v>
      </c>
      <c r="AD769" s="439">
        <f t="shared" si="851"/>
        <v>1177.799</v>
      </c>
      <c r="AE769" s="440">
        <v>1177.799</v>
      </c>
      <c r="AF769" s="439">
        <v>818.25</v>
      </c>
      <c r="AG769" s="439">
        <v>795.82</v>
      </c>
      <c r="AH769" s="439">
        <v>950.12599999999998</v>
      </c>
      <c r="AI769" s="439">
        <f t="shared" si="852"/>
        <v>990.87300000000005</v>
      </c>
      <c r="AJ769" s="440">
        <v>990.87300000000005</v>
      </c>
      <c r="AK769" s="439">
        <v>1157.3430000000001</v>
      </c>
      <c r="AL769" s="439">
        <v>1182.0419999999999</v>
      </c>
      <c r="AM769" s="439">
        <v>1140</v>
      </c>
      <c r="AN769" s="439">
        <f t="shared" si="853"/>
        <v>1207</v>
      </c>
      <c r="AO769" s="440">
        <v>1207</v>
      </c>
      <c r="AP769" s="439">
        <v>1199</v>
      </c>
      <c r="AQ769" s="439">
        <v>1198</v>
      </c>
      <c r="AR769" s="439">
        <v>1233</v>
      </c>
      <c r="AS769" s="439">
        <f t="shared" si="854"/>
        <v>1284</v>
      </c>
      <c r="AT769" s="440">
        <v>1284</v>
      </c>
      <c r="AU769" s="439">
        <v>1294</v>
      </c>
      <c r="AV769" s="439">
        <v>1318</v>
      </c>
      <c r="AW769" s="726">
        <v>1365</v>
      </c>
      <c r="AX769" s="439">
        <f>AW769</f>
        <v>1365</v>
      </c>
      <c r="AY769" s="440">
        <f>AX769</f>
        <v>1365</v>
      </c>
      <c r="AZ769" s="439">
        <f t="shared" si="856"/>
        <v>1365</v>
      </c>
      <c r="BA769" s="439">
        <f t="shared" si="856"/>
        <v>1365</v>
      </c>
      <c r="BB769" s="439">
        <f t="shared" si="856"/>
        <v>1365</v>
      </c>
      <c r="BC769" s="439">
        <f t="shared" si="856"/>
        <v>1365</v>
      </c>
      <c r="BD769" s="440">
        <f>BC769</f>
        <v>1365</v>
      </c>
      <c r="BE769" s="440">
        <f t="shared" si="857"/>
        <v>1365</v>
      </c>
      <c r="BF769" s="440">
        <f t="shared" si="857"/>
        <v>1365</v>
      </c>
      <c r="BG769" s="440">
        <f t="shared" si="857"/>
        <v>1365</v>
      </c>
      <c r="BH769" s="361"/>
    </row>
    <row r="770" spans="1:60" s="356" customFormat="1" x14ac:dyDescent="0.25">
      <c r="A770" s="526" t="s">
        <v>282</v>
      </c>
      <c r="B770" s="450"/>
      <c r="C770" s="440">
        <v>0.8</v>
      </c>
      <c r="D770" s="440">
        <v>71.828000000000003</v>
      </c>
      <c r="E770" s="440">
        <v>268.33499999999998</v>
      </c>
      <c r="F770" s="440">
        <v>401.495</v>
      </c>
      <c r="G770" s="439">
        <v>388.78500000000003</v>
      </c>
      <c r="H770" s="439">
        <v>578.74</v>
      </c>
      <c r="I770" s="439"/>
      <c r="J770" s="439">
        <f>K770</f>
        <v>0</v>
      </c>
      <c r="K770" s="440"/>
      <c r="L770" s="439">
        <v>1519.9670000000001</v>
      </c>
      <c r="M770" s="439"/>
      <c r="N770" s="439"/>
      <c r="O770" s="439">
        <f>P770</f>
        <v>0</v>
      </c>
      <c r="P770" s="440"/>
      <c r="Q770" s="439"/>
      <c r="R770" s="439"/>
      <c r="S770" s="439"/>
      <c r="T770" s="439">
        <f>U770</f>
        <v>0</v>
      </c>
      <c r="U770" s="440"/>
      <c r="V770" s="439"/>
      <c r="W770" s="439"/>
      <c r="X770" s="439"/>
      <c r="Y770" s="439">
        <f t="shared" si="858"/>
        <v>0</v>
      </c>
      <c r="Z770" s="440">
        <v>0</v>
      </c>
      <c r="AA770" s="439"/>
      <c r="AB770" s="439"/>
      <c r="AC770" s="439"/>
      <c r="AD770" s="439">
        <f t="shared" si="851"/>
        <v>0</v>
      </c>
      <c r="AE770" s="440">
        <v>0</v>
      </c>
      <c r="AF770" s="439"/>
      <c r="AG770" s="439"/>
      <c r="AH770" s="439"/>
      <c r="AI770" s="439">
        <f t="shared" si="852"/>
        <v>0</v>
      </c>
      <c r="AJ770" s="440"/>
      <c r="AK770" s="439"/>
      <c r="AL770" s="439"/>
      <c r="AM770" s="439"/>
      <c r="AN770" s="439">
        <f t="shared" si="853"/>
        <v>0</v>
      </c>
      <c r="AO770" s="440"/>
      <c r="AP770" s="439"/>
      <c r="AQ770" s="439"/>
      <c r="AR770" s="439"/>
      <c r="AS770" s="439">
        <f t="shared" si="854"/>
        <v>0</v>
      </c>
      <c r="AT770" s="440"/>
      <c r="AU770" s="439"/>
      <c r="AV770" s="439"/>
      <c r="AW770" s="726"/>
      <c r="AX770" s="439"/>
      <c r="AY770" s="440"/>
      <c r="AZ770" s="439"/>
      <c r="BA770" s="439"/>
      <c r="BB770" s="439"/>
      <c r="BC770" s="439"/>
      <c r="BD770" s="440"/>
      <c r="BE770" s="440"/>
      <c r="BF770" s="440"/>
      <c r="BG770" s="440"/>
      <c r="BH770" s="361"/>
    </row>
    <row r="771" spans="1:60" s="356" customFormat="1" x14ac:dyDescent="0.25">
      <c r="A771" s="526" t="s">
        <v>283</v>
      </c>
      <c r="B771" s="450"/>
      <c r="C771" s="440"/>
      <c r="D771" s="440"/>
      <c r="E771" s="440"/>
      <c r="F771" s="440"/>
      <c r="G771" s="439"/>
      <c r="H771" s="439"/>
      <c r="I771" s="439">
        <v>77.498000000000005</v>
      </c>
      <c r="J771" s="439">
        <f>K771</f>
        <v>586.11900000000003</v>
      </c>
      <c r="K771" s="440">
        <v>586.11900000000003</v>
      </c>
      <c r="L771" s="439"/>
      <c r="M771" s="439">
        <v>1767.0239999999999</v>
      </c>
      <c r="N771" s="439">
        <v>1786.635</v>
      </c>
      <c r="O771" s="439"/>
      <c r="P771" s="440"/>
      <c r="Q771" s="439">
        <v>1888.672</v>
      </c>
      <c r="R771" s="439">
        <v>1988.0889999999999</v>
      </c>
      <c r="S771" s="439">
        <v>1966.3610000000001</v>
      </c>
      <c r="T771" s="439"/>
      <c r="U771" s="440"/>
      <c r="V771" s="439"/>
      <c r="W771" s="439"/>
      <c r="X771" s="439"/>
      <c r="Y771" s="439">
        <f t="shared" si="858"/>
        <v>0</v>
      </c>
      <c r="Z771" s="440">
        <v>0</v>
      </c>
      <c r="AA771" s="439">
        <v>7.2830000000000004</v>
      </c>
      <c r="AB771" s="439">
        <v>1.6879999999999999</v>
      </c>
      <c r="AC771" s="439">
        <v>2.4809999999999999</v>
      </c>
      <c r="AD771" s="439">
        <f t="shared" si="851"/>
        <v>2.5190000000000001</v>
      </c>
      <c r="AE771" s="440">
        <v>2.5190000000000001</v>
      </c>
      <c r="AF771" s="439">
        <v>2.556</v>
      </c>
      <c r="AG771" s="439">
        <v>2.5939999999999999</v>
      </c>
      <c r="AH771" s="439">
        <v>2.6339999999999999</v>
      </c>
      <c r="AI771" s="439">
        <f t="shared" si="852"/>
        <v>0</v>
      </c>
      <c r="AJ771" s="440"/>
      <c r="AK771" s="439"/>
      <c r="AL771" s="439"/>
      <c r="AM771" s="439"/>
      <c r="AN771" s="439">
        <f t="shared" si="853"/>
        <v>0</v>
      </c>
      <c r="AO771" s="440"/>
      <c r="AP771" s="439"/>
      <c r="AQ771" s="439"/>
      <c r="AR771" s="439"/>
      <c r="AS771" s="439">
        <f t="shared" si="854"/>
        <v>0</v>
      </c>
      <c r="AT771" s="440"/>
      <c r="AU771" s="439"/>
      <c r="AV771" s="439"/>
      <c r="AW771" s="726"/>
      <c r="AX771" s="439"/>
      <c r="AY771" s="440"/>
      <c r="AZ771" s="439"/>
      <c r="BA771" s="439"/>
      <c r="BB771" s="439"/>
      <c r="BC771" s="439"/>
      <c r="BD771" s="440"/>
      <c r="BE771" s="440"/>
      <c r="BF771" s="440"/>
      <c r="BG771" s="440"/>
      <c r="BH771" s="361"/>
    </row>
    <row r="772" spans="1:60" s="356" customFormat="1" hidden="1" outlineLevel="1" x14ac:dyDescent="0.25">
      <c r="A772" s="618" t="s">
        <v>274</v>
      </c>
      <c r="B772" s="450"/>
      <c r="C772" s="440"/>
      <c r="D772" s="440"/>
      <c r="E772" s="440"/>
      <c r="F772" s="440"/>
      <c r="G772" s="439"/>
      <c r="H772" s="439"/>
      <c r="I772" s="439">
        <v>159.01</v>
      </c>
      <c r="J772" s="439">
        <f>K772</f>
        <v>236.29900000000001</v>
      </c>
      <c r="K772" s="440">
        <v>236.29900000000001</v>
      </c>
      <c r="L772" s="439">
        <v>290.61700000000002</v>
      </c>
      <c r="M772" s="439">
        <v>345.19200000000001</v>
      </c>
      <c r="N772" s="439">
        <v>397.74200000000002</v>
      </c>
      <c r="O772" s="439">
        <f>P772</f>
        <v>487.87900000000002</v>
      </c>
      <c r="P772" s="440">
        <v>487.87900000000002</v>
      </c>
      <c r="Q772" s="439">
        <v>606.221</v>
      </c>
      <c r="R772" s="439">
        <v>725.47699999999998</v>
      </c>
      <c r="S772" s="439">
        <v>952.72900000000004</v>
      </c>
      <c r="T772" s="439">
        <f>U772</f>
        <v>1293.741</v>
      </c>
      <c r="U772" s="440">
        <v>1293.741</v>
      </c>
      <c r="V772" s="439">
        <v>1583.075</v>
      </c>
      <c r="W772" s="439">
        <v>1779.509</v>
      </c>
      <c r="X772" s="439">
        <v>2056.0680000000002</v>
      </c>
      <c r="Y772" s="439">
        <f>Z772</f>
        <v>2210.4229999999998</v>
      </c>
      <c r="Z772" s="440">
        <v>2210.4229999999998</v>
      </c>
      <c r="AA772" s="439">
        <v>2444.058</v>
      </c>
      <c r="AB772" s="439">
        <v>2493.0239999999999</v>
      </c>
      <c r="AC772" s="439">
        <v>2410.2199999999998</v>
      </c>
      <c r="AD772" s="439">
        <f>AE772</f>
        <v>2309.2220000000002</v>
      </c>
      <c r="AE772" s="440">
        <v>2309.2220000000002</v>
      </c>
      <c r="AF772" s="439">
        <v>756.8</v>
      </c>
      <c r="AG772" s="439">
        <v>584.85699999999997</v>
      </c>
      <c r="AH772" s="439">
        <v>455.762</v>
      </c>
      <c r="AI772" s="439">
        <f>AJ772</f>
        <v>328.92599999999999</v>
      </c>
      <c r="AJ772" s="440">
        <v>328.92599999999999</v>
      </c>
      <c r="AK772" s="439">
        <v>211.39</v>
      </c>
      <c r="AL772" s="439">
        <v>61.2</v>
      </c>
      <c r="AM772" s="439">
        <v>38</v>
      </c>
      <c r="AN772" s="439">
        <f>AO772</f>
        <v>36</v>
      </c>
      <c r="AO772" s="440">
        <v>36</v>
      </c>
      <c r="AP772" s="439"/>
      <c r="AQ772" s="439"/>
      <c r="AR772" s="439"/>
      <c r="AS772" s="439"/>
      <c r="AT772" s="440"/>
      <c r="AU772" s="439"/>
      <c r="AV772" s="439"/>
      <c r="AW772" s="726"/>
      <c r="AX772" s="439"/>
      <c r="AY772" s="440"/>
      <c r="AZ772" s="439"/>
      <c r="BA772" s="439"/>
      <c r="BB772" s="439"/>
      <c r="BC772" s="439"/>
      <c r="BD772" s="440"/>
      <c r="BE772" s="440"/>
      <c r="BF772" s="440"/>
      <c r="BG772" s="440"/>
      <c r="BH772" s="361"/>
    </row>
    <row r="773" spans="1:60" s="356" customFormat="1" hidden="1" outlineLevel="1" x14ac:dyDescent="0.25">
      <c r="A773" s="619" t="s">
        <v>576</v>
      </c>
      <c r="B773" s="527"/>
      <c r="C773" s="479">
        <v>3.4590000000000001</v>
      </c>
      <c r="D773" s="479">
        <v>12.273999999999999</v>
      </c>
      <c r="E773" s="479">
        <v>14.914999999999999</v>
      </c>
      <c r="F773" s="479">
        <v>25.17</v>
      </c>
      <c r="G773" s="459">
        <v>35.003999999999998</v>
      </c>
      <c r="H773" s="459">
        <v>115.59099999999999</v>
      </c>
      <c r="I773" s="459">
        <v>53.847999999999999</v>
      </c>
      <c r="J773" s="459">
        <f>K773</f>
        <v>58.197000000000003</v>
      </c>
      <c r="K773" s="479">
        <v>58.197000000000003</v>
      </c>
      <c r="L773" s="459">
        <v>70.968999999999994</v>
      </c>
      <c r="M773" s="459">
        <v>98.902000000000001</v>
      </c>
      <c r="N773" s="459">
        <v>125.997</v>
      </c>
      <c r="O773" s="459">
        <f>P773</f>
        <v>154.66</v>
      </c>
      <c r="P773" s="479">
        <v>154.66</v>
      </c>
      <c r="Q773" s="459">
        <v>228.36699999999999</v>
      </c>
      <c r="R773" s="459">
        <v>258.142</v>
      </c>
      <c r="S773" s="459">
        <v>336.505</v>
      </c>
      <c r="T773" s="459">
        <f>U773</f>
        <v>364.976</v>
      </c>
      <c r="U773" s="479">
        <v>364.976</v>
      </c>
      <c r="V773" s="459">
        <v>426.61099999999999</v>
      </c>
      <c r="W773" s="459">
        <v>612.34400000000005</v>
      </c>
      <c r="X773" s="459">
        <v>737.55899999999997</v>
      </c>
      <c r="Y773" s="459">
        <f t="shared" ref="Y773" si="859">Z773</f>
        <v>1891.4490000000001</v>
      </c>
      <c r="Z773" s="479">
        <v>1891.4490000000001</v>
      </c>
      <c r="AA773" s="459">
        <v>2081.8220000000001</v>
      </c>
      <c r="AB773" s="459">
        <v>2259.538</v>
      </c>
      <c r="AC773" s="459">
        <v>2382.83</v>
      </c>
      <c r="AD773" s="459">
        <f t="shared" ref="AD773" si="860">AE773</f>
        <v>2442.9699999999998</v>
      </c>
      <c r="AE773" s="479">
        <v>2442.9699999999998</v>
      </c>
      <c r="AF773" s="459">
        <v>2561.886</v>
      </c>
      <c r="AG773" s="459">
        <v>2607.4580000000001</v>
      </c>
      <c r="AH773" s="459">
        <v>2555.319</v>
      </c>
      <c r="AI773" s="459">
        <f t="shared" ref="AI773" si="861">AJ773</f>
        <v>2710.4029999999998</v>
      </c>
      <c r="AJ773" s="479">
        <v>2710.4029999999998</v>
      </c>
      <c r="AK773" s="459">
        <v>2475.1350000000002</v>
      </c>
      <c r="AL773" s="459">
        <v>2655.72</v>
      </c>
      <c r="AM773" s="459">
        <v>2676</v>
      </c>
      <c r="AN773" s="459">
        <f t="shared" ref="AN773" si="862">AO773</f>
        <v>2655</v>
      </c>
      <c r="AO773" s="479">
        <v>2655</v>
      </c>
      <c r="AP773" s="459"/>
      <c r="AQ773" s="459"/>
      <c r="AR773" s="459"/>
      <c r="AS773" s="459"/>
      <c r="AT773" s="479"/>
      <c r="AU773" s="459"/>
      <c r="AV773" s="459"/>
      <c r="AW773" s="723"/>
      <c r="AX773" s="459"/>
      <c r="AY773" s="479"/>
      <c r="AZ773" s="459"/>
      <c r="BA773" s="459"/>
      <c r="BB773" s="459"/>
      <c r="BC773" s="459"/>
      <c r="BD773" s="479"/>
      <c r="BE773" s="479"/>
      <c r="BF773" s="479"/>
      <c r="BG773" s="479"/>
      <c r="BH773" s="361"/>
    </row>
    <row r="774" spans="1:60" s="356" customFormat="1" collapsed="1" x14ac:dyDescent="0.25">
      <c r="A774" s="526" t="s">
        <v>198</v>
      </c>
      <c r="B774" s="450"/>
      <c r="C774" s="440">
        <f t="shared" ref="C774:AO774" si="863">SUM(C772:C773)</f>
        <v>3.4590000000000001</v>
      </c>
      <c r="D774" s="440">
        <f t="shared" si="863"/>
        <v>12.273999999999999</v>
      </c>
      <c r="E774" s="440">
        <f t="shared" si="863"/>
        <v>14.914999999999999</v>
      </c>
      <c r="F774" s="440">
        <f t="shared" si="863"/>
        <v>25.17</v>
      </c>
      <c r="G774" s="439">
        <f t="shared" si="863"/>
        <v>35.003999999999998</v>
      </c>
      <c r="H774" s="439">
        <f t="shared" si="863"/>
        <v>115.59099999999999</v>
      </c>
      <c r="I774" s="439">
        <f t="shared" si="863"/>
        <v>212.858</v>
      </c>
      <c r="J774" s="439">
        <f t="shared" si="863"/>
        <v>294.49599999999998</v>
      </c>
      <c r="K774" s="440">
        <f t="shared" si="863"/>
        <v>294.49599999999998</v>
      </c>
      <c r="L774" s="439">
        <f t="shared" si="863"/>
        <v>361.58600000000001</v>
      </c>
      <c r="M774" s="439">
        <f t="shared" si="863"/>
        <v>444.09399999999999</v>
      </c>
      <c r="N774" s="439">
        <f t="shared" si="863"/>
        <v>523.73900000000003</v>
      </c>
      <c r="O774" s="439">
        <f t="shared" si="863"/>
        <v>642.53899999999999</v>
      </c>
      <c r="P774" s="440">
        <f t="shared" si="863"/>
        <v>642.53899999999999</v>
      </c>
      <c r="Q774" s="439">
        <f t="shared" si="863"/>
        <v>834.58799999999997</v>
      </c>
      <c r="R774" s="439">
        <f t="shared" si="863"/>
        <v>983.61899999999991</v>
      </c>
      <c r="S774" s="439">
        <f t="shared" si="863"/>
        <v>1289.2339999999999</v>
      </c>
      <c r="T774" s="439">
        <f t="shared" si="863"/>
        <v>1658.7170000000001</v>
      </c>
      <c r="U774" s="440">
        <f t="shared" si="863"/>
        <v>1658.7170000000001</v>
      </c>
      <c r="V774" s="439">
        <f t="shared" si="863"/>
        <v>2009.6860000000001</v>
      </c>
      <c r="W774" s="439">
        <f t="shared" si="863"/>
        <v>2391.8530000000001</v>
      </c>
      <c r="X774" s="439">
        <f t="shared" si="863"/>
        <v>2793.6270000000004</v>
      </c>
      <c r="Y774" s="439">
        <f t="shared" si="863"/>
        <v>4101.8719999999994</v>
      </c>
      <c r="Z774" s="440">
        <f t="shared" si="863"/>
        <v>4101.8719999999994</v>
      </c>
      <c r="AA774" s="439">
        <f t="shared" si="863"/>
        <v>4525.88</v>
      </c>
      <c r="AB774" s="439">
        <f t="shared" si="863"/>
        <v>4752.5619999999999</v>
      </c>
      <c r="AC774" s="439">
        <f t="shared" si="863"/>
        <v>4793.0499999999993</v>
      </c>
      <c r="AD774" s="439">
        <f t="shared" si="863"/>
        <v>4752.192</v>
      </c>
      <c r="AE774" s="440">
        <f t="shared" si="863"/>
        <v>4752.192</v>
      </c>
      <c r="AF774" s="439">
        <f t="shared" si="863"/>
        <v>3318.6859999999997</v>
      </c>
      <c r="AG774" s="439">
        <f t="shared" si="863"/>
        <v>3192.3150000000001</v>
      </c>
      <c r="AH774" s="439">
        <f t="shared" si="863"/>
        <v>3011.0810000000001</v>
      </c>
      <c r="AI774" s="439">
        <f t="shared" si="863"/>
        <v>3039.3289999999997</v>
      </c>
      <c r="AJ774" s="440">
        <f t="shared" si="863"/>
        <v>3039.3289999999997</v>
      </c>
      <c r="AK774" s="439">
        <f t="shared" si="863"/>
        <v>2686.5250000000001</v>
      </c>
      <c r="AL774" s="439">
        <f t="shared" si="863"/>
        <v>2716.9199999999996</v>
      </c>
      <c r="AM774" s="439">
        <f t="shared" si="863"/>
        <v>2714</v>
      </c>
      <c r="AN774" s="439">
        <f t="shared" si="863"/>
        <v>2691</v>
      </c>
      <c r="AO774" s="440">
        <f t="shared" si="863"/>
        <v>2691</v>
      </c>
      <c r="AP774" s="439">
        <v>2667</v>
      </c>
      <c r="AQ774" s="439">
        <v>2870</v>
      </c>
      <c r="AR774" s="439">
        <v>3049</v>
      </c>
      <c r="AS774" s="439">
        <f t="shared" si="854"/>
        <v>3330</v>
      </c>
      <c r="AT774" s="440">
        <v>3330</v>
      </c>
      <c r="AU774" s="439">
        <v>3283</v>
      </c>
      <c r="AV774" s="439">
        <v>3336</v>
      </c>
      <c r="AW774" s="726">
        <v>3486</v>
      </c>
      <c r="AX774" s="439">
        <f t="shared" ref="AX774:BG774" si="864">AW774</f>
        <v>3486</v>
      </c>
      <c r="AY774" s="440">
        <f t="shared" si="864"/>
        <v>3486</v>
      </c>
      <c r="AZ774" s="439">
        <f t="shared" si="864"/>
        <v>3486</v>
      </c>
      <c r="BA774" s="439">
        <f t="shared" si="864"/>
        <v>3486</v>
      </c>
      <c r="BB774" s="439">
        <f t="shared" si="864"/>
        <v>3486</v>
      </c>
      <c r="BC774" s="439">
        <f t="shared" si="864"/>
        <v>3486</v>
      </c>
      <c r="BD774" s="440">
        <f t="shared" si="864"/>
        <v>3486</v>
      </c>
      <c r="BE774" s="440">
        <f t="shared" si="864"/>
        <v>3486</v>
      </c>
      <c r="BF774" s="440">
        <f t="shared" si="864"/>
        <v>3486</v>
      </c>
      <c r="BG774" s="440">
        <f t="shared" si="864"/>
        <v>3486</v>
      </c>
      <c r="BH774" s="361"/>
    </row>
    <row r="775" spans="1:60" s="356" customFormat="1" x14ac:dyDescent="0.25">
      <c r="A775" s="526" t="s">
        <v>284</v>
      </c>
      <c r="B775" s="450"/>
      <c r="C775" s="440">
        <v>1.734</v>
      </c>
      <c r="D775" s="440"/>
      <c r="E775" s="440"/>
      <c r="F775" s="440"/>
      <c r="G775" s="439"/>
      <c r="H775" s="439"/>
      <c r="I775" s="439"/>
      <c r="J775" s="439"/>
      <c r="K775" s="440"/>
      <c r="L775" s="439">
        <v>69.941999999999993</v>
      </c>
      <c r="M775" s="439">
        <v>66.082999999999998</v>
      </c>
      <c r="N775" s="439">
        <v>62.161000000000001</v>
      </c>
      <c r="O775" s="439">
        <f>P775</f>
        <v>58.195999999999998</v>
      </c>
      <c r="P775" s="440">
        <v>58.195999999999998</v>
      </c>
      <c r="Q775" s="439">
        <v>54.277000000000001</v>
      </c>
      <c r="R775" s="439">
        <v>50.273000000000003</v>
      </c>
      <c r="S775" s="439">
        <v>46.180999999999997</v>
      </c>
      <c r="T775" s="439">
        <f>U775</f>
        <v>42.045000000000002</v>
      </c>
      <c r="U775" s="440">
        <v>42.045000000000002</v>
      </c>
      <c r="V775" s="439">
        <v>42.625999999999998</v>
      </c>
      <c r="W775" s="439">
        <v>37.146000000000001</v>
      </c>
      <c r="X775" s="439">
        <v>11.27</v>
      </c>
      <c r="Y775" s="439">
        <f t="shared" si="858"/>
        <v>8.7840000000000007</v>
      </c>
      <c r="Z775" s="440">
        <v>8.7840000000000007</v>
      </c>
      <c r="AA775" s="439">
        <v>10.44</v>
      </c>
      <c r="AB775" s="439">
        <v>2.444</v>
      </c>
      <c r="AC775" s="439">
        <v>0.35699999999999998</v>
      </c>
      <c r="AD775" s="439">
        <f t="shared" si="851"/>
        <v>7.0000000000000007E-2</v>
      </c>
      <c r="AE775" s="440">
        <v>7.0000000000000007E-2</v>
      </c>
      <c r="AF775" s="439">
        <v>2E-3</v>
      </c>
      <c r="AG775" s="439">
        <v>0</v>
      </c>
      <c r="AH775" s="439"/>
      <c r="AI775" s="439">
        <f t="shared" si="852"/>
        <v>0</v>
      </c>
      <c r="AJ775" s="440"/>
      <c r="AK775" s="439"/>
      <c r="AL775" s="439"/>
      <c r="AM775" s="439"/>
      <c r="AN775" s="439">
        <f t="shared" si="853"/>
        <v>0</v>
      </c>
      <c r="AO775" s="440"/>
      <c r="AP775" s="439">
        <v>60</v>
      </c>
      <c r="AQ775" s="439">
        <v>44</v>
      </c>
      <c r="AR775" s="439">
        <v>48</v>
      </c>
      <c r="AS775" s="439">
        <f t="shared" si="854"/>
        <v>51</v>
      </c>
      <c r="AT775" s="440">
        <v>51</v>
      </c>
      <c r="AU775" s="439"/>
      <c r="AV775" s="439"/>
      <c r="AW775" s="726"/>
      <c r="AX775" s="439"/>
      <c r="AY775" s="440"/>
      <c r="AZ775" s="439"/>
      <c r="BA775" s="439"/>
      <c r="BB775" s="439"/>
      <c r="BC775" s="439"/>
      <c r="BD775" s="440"/>
      <c r="BE775" s="440"/>
      <c r="BF775" s="440"/>
      <c r="BG775" s="440"/>
      <c r="BH775" s="361"/>
    </row>
    <row r="776" spans="1:60" s="356" customFormat="1" x14ac:dyDescent="0.25">
      <c r="A776" s="466" t="s">
        <v>285</v>
      </c>
      <c r="B776" s="527"/>
      <c r="C776" s="479"/>
      <c r="D776" s="479"/>
      <c r="E776" s="479"/>
      <c r="F776" s="479"/>
      <c r="G776" s="459"/>
      <c r="H776" s="459"/>
      <c r="I776" s="459"/>
      <c r="J776" s="459"/>
      <c r="K776" s="479"/>
      <c r="L776" s="459"/>
      <c r="M776" s="459"/>
      <c r="N776" s="459"/>
      <c r="O776" s="459"/>
      <c r="P776" s="479"/>
      <c r="Q776" s="459"/>
      <c r="R776" s="459"/>
      <c r="S776" s="459"/>
      <c r="T776" s="459"/>
      <c r="U776" s="479"/>
      <c r="V776" s="459"/>
      <c r="W776" s="459"/>
      <c r="X776" s="459"/>
      <c r="Y776" s="459">
        <f t="shared" si="858"/>
        <v>367.03899999999999</v>
      </c>
      <c r="Z776" s="479">
        <v>367.03899999999999</v>
      </c>
      <c r="AA776" s="459">
        <v>364.29599999999999</v>
      </c>
      <c r="AB776" s="459">
        <v>367.37700000000001</v>
      </c>
      <c r="AC776" s="459">
        <v>402.94299999999998</v>
      </c>
      <c r="AD776" s="459">
        <f t="shared" si="851"/>
        <v>397.73399999999998</v>
      </c>
      <c r="AE776" s="479">
        <v>397.73399999999998</v>
      </c>
      <c r="AF776" s="459">
        <v>405.83499999999998</v>
      </c>
      <c r="AG776" s="459">
        <v>539.53599999999994</v>
      </c>
      <c r="AH776" s="459">
        <v>551.26400000000001</v>
      </c>
      <c r="AI776" s="459">
        <f t="shared" si="852"/>
        <v>555.96400000000006</v>
      </c>
      <c r="AJ776" s="479">
        <v>555.96400000000006</v>
      </c>
      <c r="AK776" s="459">
        <v>570.28399999999999</v>
      </c>
      <c r="AL776" s="459">
        <v>580.22699999999998</v>
      </c>
      <c r="AM776" s="459">
        <v>600</v>
      </c>
      <c r="AN776" s="459">
        <f t="shared" si="853"/>
        <v>643</v>
      </c>
      <c r="AO776" s="479">
        <v>643</v>
      </c>
      <c r="AP776" s="459">
        <v>632</v>
      </c>
      <c r="AQ776" s="459">
        <v>613</v>
      </c>
      <c r="AR776" s="459">
        <v>608</v>
      </c>
      <c r="AS776" s="459">
        <f t="shared" si="854"/>
        <v>604</v>
      </c>
      <c r="AT776" s="479">
        <v>604</v>
      </c>
      <c r="AU776" s="459">
        <v>601</v>
      </c>
      <c r="AV776" s="459">
        <v>605</v>
      </c>
      <c r="AW776" s="723">
        <v>605</v>
      </c>
      <c r="AX776" s="459">
        <f t="shared" ref="AX776:BG776" si="865">AW776</f>
        <v>605</v>
      </c>
      <c r="AY776" s="479">
        <f t="shared" si="865"/>
        <v>605</v>
      </c>
      <c r="AZ776" s="459">
        <f t="shared" si="865"/>
        <v>605</v>
      </c>
      <c r="BA776" s="459">
        <f t="shared" si="865"/>
        <v>605</v>
      </c>
      <c r="BB776" s="459">
        <f t="shared" si="865"/>
        <v>605</v>
      </c>
      <c r="BC776" s="459">
        <f t="shared" si="865"/>
        <v>605</v>
      </c>
      <c r="BD776" s="479">
        <f t="shared" si="865"/>
        <v>605</v>
      </c>
      <c r="BE776" s="479">
        <f t="shared" si="865"/>
        <v>605</v>
      </c>
      <c r="BF776" s="479">
        <f t="shared" si="865"/>
        <v>605</v>
      </c>
      <c r="BG776" s="479">
        <f t="shared" si="865"/>
        <v>605</v>
      </c>
      <c r="BH776" s="361"/>
    </row>
    <row r="777" spans="1:60" s="116" customFormat="1" x14ac:dyDescent="0.25">
      <c r="A777" s="528" t="s">
        <v>286</v>
      </c>
      <c r="B777" s="529"/>
      <c r="C777" s="45">
        <f t="shared" ref="C777:AT777" si="866">SUM(C766:C771,C774:C776)</f>
        <v>7.2330000000000005</v>
      </c>
      <c r="D777" s="45">
        <f t="shared" si="866"/>
        <v>93.469000000000008</v>
      </c>
      <c r="E777" s="45">
        <f t="shared" si="866"/>
        <v>298.06400000000002</v>
      </c>
      <c r="F777" s="45">
        <f t="shared" si="866"/>
        <v>450.38200000000001</v>
      </c>
      <c r="G777" s="44">
        <f t="shared" si="866"/>
        <v>439.57200000000006</v>
      </c>
      <c r="H777" s="44">
        <f t="shared" si="866"/>
        <v>771.87300000000005</v>
      </c>
      <c r="I777" s="44">
        <f t="shared" si="866"/>
        <v>432.58500000000004</v>
      </c>
      <c r="J777" s="44">
        <f t="shared" si="866"/>
        <v>1074.6500000000001</v>
      </c>
      <c r="K777" s="45">
        <f t="shared" si="866"/>
        <v>1074.6500000000001</v>
      </c>
      <c r="L777" s="44">
        <f t="shared" si="866"/>
        <v>2174.884</v>
      </c>
      <c r="M777" s="44">
        <f t="shared" si="866"/>
        <v>2526.2799999999997</v>
      </c>
      <c r="N777" s="44">
        <f t="shared" si="866"/>
        <v>2639.6620000000003</v>
      </c>
      <c r="O777" s="44">
        <f t="shared" si="866"/>
        <v>2811.7910000000002</v>
      </c>
      <c r="P777" s="45">
        <f t="shared" si="866"/>
        <v>2811.7910000000002</v>
      </c>
      <c r="Q777" s="44">
        <f t="shared" si="866"/>
        <v>3101.652</v>
      </c>
      <c r="R777" s="44">
        <f t="shared" si="866"/>
        <v>3367.8630000000003</v>
      </c>
      <c r="S777" s="44">
        <f t="shared" si="866"/>
        <v>3679.07</v>
      </c>
      <c r="T777" s="44">
        <f t="shared" si="866"/>
        <v>4187.2420000000002</v>
      </c>
      <c r="U777" s="45">
        <f t="shared" si="866"/>
        <v>4187.2420000000002</v>
      </c>
      <c r="V777" s="44">
        <f t="shared" si="866"/>
        <v>5033.6380000000008</v>
      </c>
      <c r="W777" s="44">
        <f t="shared" si="866"/>
        <v>5582.2539999999999</v>
      </c>
      <c r="X777" s="44">
        <f t="shared" si="866"/>
        <v>5829.5190000000011</v>
      </c>
      <c r="Y777" s="44">
        <f t="shared" si="866"/>
        <v>11298.985000000001</v>
      </c>
      <c r="Z777" s="45">
        <f t="shared" si="866"/>
        <v>11298.985000000001</v>
      </c>
      <c r="AA777" s="44">
        <f t="shared" si="866"/>
        <v>13011.493000000002</v>
      </c>
      <c r="AB777" s="44">
        <f t="shared" si="866"/>
        <v>13282.612000000001</v>
      </c>
      <c r="AC777" s="44">
        <f t="shared" si="866"/>
        <v>15863.416999999998</v>
      </c>
      <c r="AD777" s="44">
        <f t="shared" si="866"/>
        <v>15746.114000000001</v>
      </c>
      <c r="AE777" s="45">
        <f t="shared" si="866"/>
        <v>15746.114000000001</v>
      </c>
      <c r="AF777" s="44">
        <f t="shared" si="866"/>
        <v>13306.499</v>
      </c>
      <c r="AG777" s="44">
        <f t="shared" si="866"/>
        <v>14041.061</v>
      </c>
      <c r="AH777" s="44">
        <f t="shared" si="866"/>
        <v>14185.084000000001</v>
      </c>
      <c r="AI777" s="44">
        <f t="shared" si="866"/>
        <v>13989.838</v>
      </c>
      <c r="AJ777" s="45">
        <f t="shared" si="866"/>
        <v>13989.838</v>
      </c>
      <c r="AK777" s="44">
        <f t="shared" si="866"/>
        <v>14202.102000000001</v>
      </c>
      <c r="AL777" s="44">
        <f t="shared" si="866"/>
        <v>15713.59</v>
      </c>
      <c r="AM777" s="44">
        <f t="shared" si="866"/>
        <v>15767</v>
      </c>
      <c r="AN777" s="44">
        <f t="shared" si="866"/>
        <v>16175</v>
      </c>
      <c r="AO777" s="45">
        <f t="shared" si="866"/>
        <v>16175</v>
      </c>
      <c r="AP777" s="44">
        <f t="shared" si="866"/>
        <v>15224</v>
      </c>
      <c r="AQ777" s="44">
        <f t="shared" si="866"/>
        <v>15141</v>
      </c>
      <c r="AR777" s="44">
        <f t="shared" si="866"/>
        <v>15497</v>
      </c>
      <c r="AS777" s="44">
        <f t="shared" si="866"/>
        <v>14825</v>
      </c>
      <c r="AT777" s="45">
        <f t="shared" si="866"/>
        <v>14825</v>
      </c>
      <c r="AU777" s="44">
        <f t="shared" ref="AU777" si="867">SUM(AU766:AU771,AU774:AU776)</f>
        <v>14231</v>
      </c>
      <c r="AV777" s="44">
        <f>SUM(AV766:AV771,AV774:AV776)</f>
        <v>13130</v>
      </c>
      <c r="AW777" s="729">
        <f>SUM(AW766:AW771,AW774:AW776)</f>
        <v>11894</v>
      </c>
      <c r="AX777" s="44">
        <f t="shared" ref="AX777:BG777" si="868">SUM(AX766:AX776)</f>
        <v>11894</v>
      </c>
      <c r="AY777" s="45">
        <f t="shared" si="868"/>
        <v>11894</v>
      </c>
      <c r="AZ777" s="44">
        <f t="shared" si="868"/>
        <v>11894</v>
      </c>
      <c r="BA777" s="44">
        <f t="shared" si="868"/>
        <v>11894</v>
      </c>
      <c r="BB777" s="44">
        <f t="shared" si="868"/>
        <v>11894</v>
      </c>
      <c r="BC777" s="44">
        <f t="shared" si="868"/>
        <v>11894</v>
      </c>
      <c r="BD777" s="45">
        <f t="shared" si="868"/>
        <v>11894</v>
      </c>
      <c r="BE777" s="45">
        <f t="shared" si="868"/>
        <v>11894</v>
      </c>
      <c r="BF777" s="45">
        <f t="shared" si="868"/>
        <v>11894</v>
      </c>
      <c r="BG777" s="45">
        <f t="shared" si="868"/>
        <v>11894</v>
      </c>
      <c r="BH777" s="368"/>
    </row>
    <row r="778" spans="1:60" s="116" customFormat="1" x14ac:dyDescent="0.25">
      <c r="A778" s="530" t="s">
        <v>287</v>
      </c>
      <c r="B778" s="531"/>
      <c r="C778" s="438">
        <f t="shared" ref="C778:AH778" si="869">C763+C777</f>
        <v>64.721999999999994</v>
      </c>
      <c r="D778" s="438">
        <f t="shared" si="869"/>
        <v>179.03399999999999</v>
      </c>
      <c r="E778" s="438">
        <f t="shared" si="869"/>
        <v>489.40300000000002</v>
      </c>
      <c r="F778" s="438">
        <f t="shared" si="869"/>
        <v>989.49</v>
      </c>
      <c r="G778" s="437">
        <f t="shared" si="869"/>
        <v>975.19500000000016</v>
      </c>
      <c r="H778" s="437">
        <f t="shared" si="869"/>
        <v>1258.4180000000001</v>
      </c>
      <c r="I778" s="437">
        <f t="shared" si="869"/>
        <v>1602.0440000000001</v>
      </c>
      <c r="J778" s="437">
        <f t="shared" si="869"/>
        <v>1749.8100000000002</v>
      </c>
      <c r="K778" s="438">
        <f t="shared" si="869"/>
        <v>1749.8100000000002</v>
      </c>
      <c r="L778" s="437">
        <f t="shared" si="869"/>
        <v>3588.3540000000003</v>
      </c>
      <c r="M778" s="437">
        <f t="shared" si="869"/>
        <v>4102.13</v>
      </c>
      <c r="N778" s="437">
        <f t="shared" si="869"/>
        <v>4479.4390000000003</v>
      </c>
      <c r="O778" s="437">
        <f t="shared" si="869"/>
        <v>4918.9570000000003</v>
      </c>
      <c r="P778" s="438">
        <f t="shared" si="869"/>
        <v>4918.9570000000003</v>
      </c>
      <c r="Q778" s="437">
        <f t="shared" si="869"/>
        <v>5294.0329999999994</v>
      </c>
      <c r="R778" s="437">
        <f t="shared" si="869"/>
        <v>5752.2510000000002</v>
      </c>
      <c r="S778" s="437">
        <f t="shared" si="869"/>
        <v>6232.8410000000003</v>
      </c>
      <c r="T778" s="437">
        <f t="shared" si="869"/>
        <v>7003.5160000000005</v>
      </c>
      <c r="U778" s="438">
        <f t="shared" si="869"/>
        <v>7003.5160000000005</v>
      </c>
      <c r="V778" s="437">
        <f t="shared" si="869"/>
        <v>8221.3370000000014</v>
      </c>
      <c r="W778" s="437">
        <f t="shared" si="869"/>
        <v>9348.6579999999994</v>
      </c>
      <c r="X778" s="437">
        <f t="shared" si="869"/>
        <v>9911.9090000000015</v>
      </c>
      <c r="Y778" s="437">
        <f t="shared" si="869"/>
        <v>17125.989999999998</v>
      </c>
      <c r="Z778" s="438">
        <f t="shared" si="869"/>
        <v>17125.989999999998</v>
      </c>
      <c r="AA778" s="437">
        <f t="shared" si="869"/>
        <v>19256.932000000001</v>
      </c>
      <c r="AB778" s="437">
        <f t="shared" si="869"/>
        <v>19828.967000000001</v>
      </c>
      <c r="AC778" s="437">
        <f t="shared" si="869"/>
        <v>22332.356999999996</v>
      </c>
      <c r="AD778" s="437">
        <f t="shared" si="869"/>
        <v>23420.784</v>
      </c>
      <c r="AE778" s="438">
        <f t="shared" si="869"/>
        <v>23420.784</v>
      </c>
      <c r="AF778" s="437">
        <f t="shared" si="869"/>
        <v>21956.858</v>
      </c>
      <c r="AG778" s="437">
        <f t="shared" si="869"/>
        <v>23182.422999999999</v>
      </c>
      <c r="AH778" s="437">
        <f t="shared" si="869"/>
        <v>23960.408000000003</v>
      </c>
      <c r="AI778" s="437">
        <f t="shared" ref="AI778:AT778" si="870">AI763+AI777</f>
        <v>23981.974000000002</v>
      </c>
      <c r="AJ778" s="438">
        <f t="shared" si="870"/>
        <v>23981.974000000002</v>
      </c>
      <c r="AK778" s="437">
        <f t="shared" si="870"/>
        <v>23444.902000000002</v>
      </c>
      <c r="AL778" s="437">
        <f t="shared" si="870"/>
        <v>25302.363000000001</v>
      </c>
      <c r="AM778" s="437">
        <f t="shared" si="870"/>
        <v>25913</v>
      </c>
      <c r="AN778" s="437">
        <f t="shared" si="870"/>
        <v>26842</v>
      </c>
      <c r="AO778" s="438">
        <f t="shared" si="870"/>
        <v>26842</v>
      </c>
      <c r="AP778" s="437">
        <f t="shared" si="870"/>
        <v>27210</v>
      </c>
      <c r="AQ778" s="437">
        <f t="shared" si="870"/>
        <v>27411</v>
      </c>
      <c r="AR778" s="437">
        <f t="shared" si="870"/>
        <v>28799</v>
      </c>
      <c r="AS778" s="437">
        <f t="shared" si="870"/>
        <v>29073</v>
      </c>
      <c r="AT778" s="438">
        <f t="shared" si="870"/>
        <v>29073</v>
      </c>
      <c r="AU778" s="437">
        <f t="shared" ref="AU778" si="871">AU763+AU777</f>
        <v>29108</v>
      </c>
      <c r="AV778" s="437">
        <f t="shared" ref="AV778:BG778" si="872">AV763+AV777</f>
        <v>29501</v>
      </c>
      <c r="AW778" s="725">
        <f t="shared" si="872"/>
        <v>29945</v>
      </c>
      <c r="AX778" s="437">
        <f t="shared" si="872"/>
        <v>33973.55164891106</v>
      </c>
      <c r="AY778" s="438">
        <f t="shared" si="872"/>
        <v>33973.55164891106</v>
      </c>
      <c r="AZ778" s="437">
        <f t="shared" ca="1" si="872"/>
        <v>36869.468037629857</v>
      </c>
      <c r="BA778" s="437">
        <f t="shared" ca="1" si="872"/>
        <v>41009.435206284696</v>
      </c>
      <c r="BB778" s="437">
        <f t="shared" ca="1" si="872"/>
        <v>46288.17608342359</v>
      </c>
      <c r="BC778" s="437">
        <f t="shared" ca="1" si="872"/>
        <v>56224.880017153584</v>
      </c>
      <c r="BD778" s="438">
        <f t="shared" ca="1" si="872"/>
        <v>56224.880017153584</v>
      </c>
      <c r="BE778" s="438">
        <f t="shared" ca="1" si="872"/>
        <v>66150.409215993772</v>
      </c>
      <c r="BF778" s="438">
        <f t="shared" ca="1" si="872"/>
        <v>77993.478756189099</v>
      </c>
      <c r="BG778" s="438">
        <f t="shared" ca="1" si="872"/>
        <v>92547.449054136858</v>
      </c>
      <c r="BH778" s="368"/>
    </row>
    <row r="779" spans="1:60" s="112" customFormat="1" x14ac:dyDescent="0.25">
      <c r="A779" s="506"/>
      <c r="B779" s="507"/>
      <c r="C779" s="1045"/>
      <c r="D779" s="1045"/>
      <c r="E779" s="1045"/>
      <c r="F779" s="1045"/>
      <c r="G779" s="1046"/>
      <c r="H779" s="1046"/>
      <c r="I779" s="1046"/>
      <c r="J779" s="1046"/>
      <c r="K779" s="1045"/>
      <c r="L779" s="1046"/>
      <c r="M779" s="1046"/>
      <c r="N779" s="1046"/>
      <c r="O779" s="1046"/>
      <c r="P779" s="1045"/>
      <c r="Q779" s="1046"/>
      <c r="R779" s="1046"/>
      <c r="S779" s="1046"/>
      <c r="T779" s="1046"/>
      <c r="U779" s="1045"/>
      <c r="V779" s="1046"/>
      <c r="W779" s="1046"/>
      <c r="X779" s="1046"/>
      <c r="Y779" s="1046"/>
      <c r="Z779" s="1045"/>
      <c r="AA779" s="1046"/>
      <c r="AB779" s="1046"/>
      <c r="AC779" s="1046"/>
      <c r="AD779" s="1046"/>
      <c r="AE779" s="1045"/>
      <c r="AF779" s="1046"/>
      <c r="AG779" s="1046"/>
      <c r="AH779" s="1046"/>
      <c r="AI779" s="1046"/>
      <c r="AJ779" s="1045"/>
      <c r="AK779" s="1046"/>
      <c r="AL779" s="1046"/>
      <c r="AM779" s="1046"/>
      <c r="AN779" s="1046"/>
      <c r="AO779" s="1045"/>
      <c r="AP779" s="1046"/>
      <c r="AQ779" s="1046"/>
      <c r="AR779" s="1046"/>
      <c r="AS779" s="1046"/>
      <c r="AT779" s="1045"/>
      <c r="AU779" s="1046"/>
      <c r="AV779" s="1046"/>
      <c r="AW779" s="1047"/>
      <c r="AX779" s="1046"/>
      <c r="AY779" s="1045"/>
      <c r="AZ779" s="1046"/>
      <c r="BA779" s="1046"/>
      <c r="BB779" s="1046"/>
      <c r="BC779" s="1046"/>
      <c r="BD779" s="1045"/>
      <c r="BE779" s="1045"/>
      <c r="BF779" s="1045"/>
      <c r="BG779" s="1045"/>
      <c r="BH779" s="1034"/>
    </row>
    <row r="780" spans="1:60" s="112" customFormat="1" x14ac:dyDescent="0.25">
      <c r="A780" s="514" t="s">
        <v>288</v>
      </c>
      <c r="B780" s="507"/>
      <c r="C780" s="1045"/>
      <c r="D780" s="1045"/>
      <c r="E780" s="1045"/>
      <c r="F780" s="1045"/>
      <c r="G780" s="1046"/>
      <c r="H780" s="1046"/>
      <c r="I780" s="1046"/>
      <c r="J780" s="1046"/>
      <c r="K780" s="1045"/>
      <c r="L780" s="1046"/>
      <c r="M780" s="1046"/>
      <c r="N780" s="1046"/>
      <c r="O780" s="1046"/>
      <c r="P780" s="1045"/>
      <c r="Q780" s="1046"/>
      <c r="R780" s="1046"/>
      <c r="S780" s="1046"/>
      <c r="T780" s="1046"/>
      <c r="U780" s="1045"/>
      <c r="V780" s="1046"/>
      <c r="W780" s="1046"/>
      <c r="X780" s="1046"/>
      <c r="Y780" s="1046"/>
      <c r="Z780" s="1045"/>
      <c r="AA780" s="1046"/>
      <c r="AB780" s="1046"/>
      <c r="AC780" s="1046"/>
      <c r="AD780" s="1046"/>
      <c r="AE780" s="1045"/>
      <c r="AF780" s="1046"/>
      <c r="AG780" s="1046"/>
      <c r="AH780" s="1046"/>
      <c r="AI780" s="1046"/>
      <c r="AJ780" s="1045"/>
      <c r="AK780" s="1046"/>
      <c r="AL780" s="1046"/>
      <c r="AM780" s="1046"/>
      <c r="AN780" s="1046"/>
      <c r="AO780" s="1045"/>
      <c r="AP780" s="1046"/>
      <c r="AQ780" s="1046"/>
      <c r="AR780" s="1046"/>
      <c r="AS780" s="1046"/>
      <c r="AT780" s="1045"/>
      <c r="AU780" s="1046"/>
      <c r="AV780" s="1046"/>
      <c r="AW780" s="1047"/>
      <c r="AX780" s="1046"/>
      <c r="AY780" s="1045"/>
      <c r="AZ780" s="1046"/>
      <c r="BA780" s="1046"/>
      <c r="BB780" s="1046"/>
      <c r="BC780" s="1046"/>
      <c r="BD780" s="1045"/>
      <c r="BE780" s="1045"/>
      <c r="BF780" s="1045"/>
      <c r="BG780" s="1045"/>
      <c r="BH780" s="1034"/>
    </row>
    <row r="781" spans="1:60" s="109" customFormat="1" x14ac:dyDescent="0.25">
      <c r="A781" s="217" t="s">
        <v>289</v>
      </c>
      <c r="B781" s="214"/>
      <c r="C781" s="1051">
        <v>319.22500000000002</v>
      </c>
      <c r="D781" s="1051"/>
      <c r="E781" s="1051"/>
      <c r="F781" s="1051"/>
      <c r="G781" s="1052"/>
      <c r="H781" s="1052"/>
      <c r="I781" s="1052"/>
      <c r="J781" s="1052"/>
      <c r="K781" s="1051"/>
      <c r="L781" s="1052"/>
      <c r="M781" s="1052"/>
      <c r="N781" s="1052"/>
      <c r="O781" s="1052"/>
      <c r="P781" s="1051"/>
      <c r="Q781" s="1052"/>
      <c r="R781" s="1052"/>
      <c r="S781" s="1052"/>
      <c r="T781" s="1052"/>
      <c r="U781" s="1051"/>
      <c r="V781" s="1052"/>
      <c r="W781" s="1052"/>
      <c r="X781" s="1052"/>
      <c r="Y781" s="1052"/>
      <c r="Z781" s="1051"/>
      <c r="AA781" s="1052"/>
      <c r="AB781" s="1052"/>
      <c r="AC781" s="1052"/>
      <c r="AD781" s="1052"/>
      <c r="AE781" s="1051"/>
      <c r="AF781" s="1052"/>
      <c r="AG781" s="1052"/>
      <c r="AH781" s="1052"/>
      <c r="AI781" s="1052"/>
      <c r="AJ781" s="1051">
        <v>0</v>
      </c>
      <c r="AK781" s="1052"/>
      <c r="AL781" s="1052"/>
      <c r="AM781" s="1052"/>
      <c r="AN781" s="1052"/>
      <c r="AO781" s="1051"/>
      <c r="AP781" s="1052"/>
      <c r="AQ781" s="1052"/>
      <c r="AR781" s="1052"/>
      <c r="AS781" s="1052"/>
      <c r="AT781" s="1051"/>
      <c r="AU781" s="1052"/>
      <c r="AV781" s="1052"/>
      <c r="AW781" s="1053"/>
      <c r="AX781" s="1052"/>
      <c r="AY781" s="1051"/>
      <c r="AZ781" s="1052"/>
      <c r="BA781" s="1052"/>
      <c r="BB781" s="1052"/>
      <c r="BC781" s="1052"/>
      <c r="BD781" s="1051"/>
      <c r="BE781" s="1051"/>
      <c r="BF781" s="1051"/>
      <c r="BG781" s="1051"/>
      <c r="BH781" s="1024"/>
    </row>
    <row r="782" spans="1:60" s="356" customFormat="1" x14ac:dyDescent="0.25">
      <c r="A782" s="526" t="s">
        <v>290</v>
      </c>
      <c r="B782" s="450"/>
      <c r="C782" s="440">
        <v>7.0000000000000001E-3</v>
      </c>
      <c r="D782" s="440">
        <v>9.5000000000000001E-2</v>
      </c>
      <c r="E782" s="440">
        <v>0.104</v>
      </c>
      <c r="F782" s="440">
        <v>0.115</v>
      </c>
      <c r="G782" s="439">
        <v>0.115</v>
      </c>
      <c r="H782" s="439">
        <v>0.121</v>
      </c>
      <c r="I782" s="439">
        <v>0.123</v>
      </c>
      <c r="J782" s="439">
        <f>K782</f>
        <v>0.123</v>
      </c>
      <c r="K782" s="440">
        <v>0.123</v>
      </c>
      <c r="L782" s="439">
        <v>0.124</v>
      </c>
      <c r="M782" s="439">
        <v>0.125</v>
      </c>
      <c r="N782" s="439">
        <v>0.125</v>
      </c>
      <c r="O782" s="439">
        <f>P782</f>
        <v>0.126</v>
      </c>
      <c r="P782" s="440">
        <v>0.126</v>
      </c>
      <c r="Q782" s="439">
        <v>0.126</v>
      </c>
      <c r="R782" s="439">
        <v>0.127</v>
      </c>
      <c r="S782" s="439">
        <v>0.13100000000000001</v>
      </c>
      <c r="T782" s="439">
        <f>U782</f>
        <v>0.13100000000000001</v>
      </c>
      <c r="U782" s="440">
        <v>0.13100000000000001</v>
      </c>
      <c r="V782" s="439">
        <v>0.13400000000000001</v>
      </c>
      <c r="W782" s="439">
        <v>0.14799999999999999</v>
      </c>
      <c r="X782" s="439">
        <v>0.15</v>
      </c>
      <c r="Y782" s="439">
        <f t="shared" ref="Y782:Y787" si="873">Z782</f>
        <v>0.161</v>
      </c>
      <c r="Z782" s="440">
        <v>0.161</v>
      </c>
      <c r="AA782" s="439">
        <v>0.161</v>
      </c>
      <c r="AB782" s="439">
        <v>0.16300000000000001</v>
      </c>
      <c r="AC782" s="439">
        <v>0.16800000000000001</v>
      </c>
      <c r="AD782" s="439">
        <f t="shared" ref="AD782:AD787" si="874">AE782</f>
        <v>0.16900000000000001</v>
      </c>
      <c r="AE782" s="440">
        <v>0.16900000000000001</v>
      </c>
      <c r="AF782" s="439">
        <v>0.17</v>
      </c>
      <c r="AG782" s="439">
        <v>0.17</v>
      </c>
      <c r="AH782" s="439">
        <v>0.17100000000000001</v>
      </c>
      <c r="AI782" s="439">
        <f>+AJ782</f>
        <v>0.17299999999999999</v>
      </c>
      <c r="AJ782" s="440">
        <v>0.17299999999999999</v>
      </c>
      <c r="AK782" s="439">
        <v>0.17399999999999999</v>
      </c>
      <c r="AL782" s="439">
        <v>0.17899999999999999</v>
      </c>
      <c r="AM782" s="439"/>
      <c r="AN782" s="439">
        <f>AO782</f>
        <v>0</v>
      </c>
      <c r="AO782" s="440"/>
      <c r="AP782" s="439"/>
      <c r="AQ782" s="439"/>
      <c r="AR782" s="439">
        <v>1</v>
      </c>
      <c r="AS782" s="439">
        <f t="shared" ref="AS782:AS785" si="875">AT782</f>
        <v>1</v>
      </c>
      <c r="AT782" s="440">
        <v>1</v>
      </c>
      <c r="AU782" s="439">
        <v>1</v>
      </c>
      <c r="AV782" s="439">
        <v>1</v>
      </c>
      <c r="AW782" s="726">
        <v>1</v>
      </c>
      <c r="AX782" s="439">
        <f t="shared" ref="AX782:BG782" si="876">AW782</f>
        <v>1</v>
      </c>
      <c r="AY782" s="440">
        <f t="shared" si="876"/>
        <v>1</v>
      </c>
      <c r="AZ782" s="439">
        <f t="shared" si="876"/>
        <v>1</v>
      </c>
      <c r="BA782" s="439">
        <f t="shared" si="876"/>
        <v>1</v>
      </c>
      <c r="BB782" s="439">
        <f t="shared" si="876"/>
        <v>1</v>
      </c>
      <c r="BC782" s="439">
        <f t="shared" si="876"/>
        <v>1</v>
      </c>
      <c r="BD782" s="440">
        <f t="shared" si="876"/>
        <v>1</v>
      </c>
      <c r="BE782" s="440">
        <f t="shared" si="876"/>
        <v>1</v>
      </c>
      <c r="BF782" s="440">
        <f t="shared" si="876"/>
        <v>1</v>
      </c>
      <c r="BG782" s="440">
        <f t="shared" si="876"/>
        <v>1</v>
      </c>
      <c r="BH782" s="361"/>
    </row>
    <row r="783" spans="1:60" s="356" customFormat="1" x14ac:dyDescent="0.25">
      <c r="A783" s="526" t="s">
        <v>291</v>
      </c>
      <c r="B783" s="450"/>
      <c r="C783" s="440">
        <v>7.1239999999999997</v>
      </c>
      <c r="D783" s="440">
        <v>621.93499999999995</v>
      </c>
      <c r="E783" s="440">
        <v>893.33600000000001</v>
      </c>
      <c r="F783" s="440">
        <v>1190.191</v>
      </c>
      <c r="G783" s="439">
        <v>1222.825</v>
      </c>
      <c r="H783" s="439">
        <v>1714.163</v>
      </c>
      <c r="I783" s="439">
        <v>1687.3969999999999</v>
      </c>
      <c r="J783" s="439">
        <f>K783</f>
        <v>1806.617</v>
      </c>
      <c r="K783" s="440">
        <v>1806.617</v>
      </c>
      <c r="L783" s="439">
        <v>2101.3519999999999</v>
      </c>
      <c r="M783" s="439">
        <v>2203.5349999999999</v>
      </c>
      <c r="N783" s="439">
        <v>2284.0100000000002</v>
      </c>
      <c r="O783" s="439">
        <f>P783</f>
        <v>2345.2660000000001</v>
      </c>
      <c r="P783" s="440">
        <v>2345.2660000000001</v>
      </c>
      <c r="Q783" s="439">
        <v>2429.6770000000001</v>
      </c>
      <c r="R783" s="439">
        <v>2502.6790000000001</v>
      </c>
      <c r="S783" s="439">
        <v>3340.4360000000001</v>
      </c>
      <c r="T783" s="439">
        <f>U783</f>
        <v>3414.692</v>
      </c>
      <c r="U783" s="440">
        <v>3414.692</v>
      </c>
      <c r="V783" s="439">
        <v>3561.2559999999999</v>
      </c>
      <c r="W783" s="439">
        <v>5383.7309999999998</v>
      </c>
      <c r="X783" s="439">
        <v>5530.9279999999999</v>
      </c>
      <c r="Y783" s="439">
        <f t="shared" si="873"/>
        <v>7773.7269999999999</v>
      </c>
      <c r="Z783" s="440">
        <v>7773.7269999999999</v>
      </c>
      <c r="AA783" s="439">
        <v>8351.5139999999992</v>
      </c>
      <c r="AB783" s="439">
        <v>8774.2119999999995</v>
      </c>
      <c r="AC783" s="439">
        <v>8989.0220000000008</v>
      </c>
      <c r="AD783" s="439">
        <f t="shared" si="874"/>
        <v>9178.0239999999994</v>
      </c>
      <c r="AE783" s="440">
        <v>9178.0239999999994</v>
      </c>
      <c r="AF783" s="439">
        <v>9418.8960000000006</v>
      </c>
      <c r="AG783" s="439">
        <v>9656.5370000000003</v>
      </c>
      <c r="AH783" s="439">
        <v>9957.7109999999993</v>
      </c>
      <c r="AI783" s="439">
        <f>+AJ783</f>
        <v>10249.120000000001</v>
      </c>
      <c r="AJ783" s="440">
        <v>10249.120000000001</v>
      </c>
      <c r="AK783" s="439">
        <v>10563.745999999999</v>
      </c>
      <c r="AL783" s="439">
        <v>12052.458000000001</v>
      </c>
      <c r="AM783" s="439">
        <v>12348</v>
      </c>
      <c r="AN783" s="439">
        <f>AO783</f>
        <v>12737</v>
      </c>
      <c r="AO783" s="440">
        <v>12737</v>
      </c>
      <c r="AP783" s="439">
        <v>15390</v>
      </c>
      <c r="AQ783" s="439">
        <v>15895</v>
      </c>
      <c r="AR783" s="439">
        <v>21574</v>
      </c>
      <c r="AS783" s="439">
        <f t="shared" si="875"/>
        <v>27260</v>
      </c>
      <c r="AT783" s="440">
        <v>27260</v>
      </c>
      <c r="AU783" s="439">
        <v>27623</v>
      </c>
      <c r="AV783" s="439">
        <v>28205</v>
      </c>
      <c r="AW783" s="726">
        <v>28922</v>
      </c>
      <c r="AX783" s="439">
        <f>AW783+AX586+INDEX(MO_CFS_Buyback,0,COLUMN())</f>
        <v>29237</v>
      </c>
      <c r="AY783" s="440">
        <f>AX783</f>
        <v>29237</v>
      </c>
      <c r="AZ783" s="439">
        <f>AY783+AZ586+INDEX(MO_CFS_Buyback,0,COLUMN())</f>
        <v>29552</v>
      </c>
      <c r="BA783" s="439">
        <f>AZ783+BA586+INDEX(MO_CFS_Buyback,0,COLUMN())</f>
        <v>29867</v>
      </c>
      <c r="BB783" s="439">
        <f>BA783+BB586+INDEX(MO_CFS_Buyback,0,COLUMN())</f>
        <v>30182</v>
      </c>
      <c r="BC783" s="439">
        <f>BB783+BC586+INDEX(MO_CFS_Buyback,0,COLUMN())</f>
        <v>30497</v>
      </c>
      <c r="BD783" s="440">
        <f>BC783</f>
        <v>30497</v>
      </c>
      <c r="BE783" s="440">
        <f>BD783+BE586+INDEX(MO_CFS_Buyback,0,COLUMN())</f>
        <v>31757</v>
      </c>
      <c r="BF783" s="440">
        <f>BE783+BF586+INDEX(MO_CFS_Buyback,0,COLUMN())</f>
        <v>33017</v>
      </c>
      <c r="BG783" s="440">
        <f>BF783+BG586+INDEX(MO_CFS_Buyback,0,COLUMN())</f>
        <v>34277</v>
      </c>
      <c r="BH783" s="361"/>
    </row>
    <row r="784" spans="1:60" s="356" customFormat="1" x14ac:dyDescent="0.25">
      <c r="A784" s="526" t="s">
        <v>292</v>
      </c>
      <c r="B784" s="450"/>
      <c r="C784" s="440">
        <v>0</v>
      </c>
      <c r="D784" s="440"/>
      <c r="E784" s="440">
        <v>-3.0000000000000001E-3</v>
      </c>
      <c r="F784" s="440"/>
      <c r="G784" s="439"/>
      <c r="H784" s="439"/>
      <c r="I784" s="439"/>
      <c r="J784" s="439">
        <f>K784</f>
        <v>0</v>
      </c>
      <c r="K784" s="440"/>
      <c r="L784" s="439"/>
      <c r="M784" s="439"/>
      <c r="N784" s="439"/>
      <c r="O784" s="439">
        <f>P784</f>
        <v>-2.1999999999999999E-2</v>
      </c>
      <c r="P784" s="440">
        <v>-2.1999999999999999E-2</v>
      </c>
      <c r="Q784" s="439">
        <v>-15.965</v>
      </c>
      <c r="R784" s="439">
        <v>-14.804</v>
      </c>
      <c r="S784" s="439">
        <v>-23.984999999999999</v>
      </c>
      <c r="T784" s="439">
        <f>U784</f>
        <v>-3.556</v>
      </c>
      <c r="U784" s="440">
        <v>-3.556</v>
      </c>
      <c r="V784" s="439">
        <v>13.565</v>
      </c>
      <c r="W784" s="439">
        <v>34.192999999999998</v>
      </c>
      <c r="X784" s="439">
        <v>25.31</v>
      </c>
      <c r="Y784" s="439">
        <f t="shared" si="873"/>
        <v>-23.74</v>
      </c>
      <c r="Z784" s="440">
        <v>-23.74</v>
      </c>
      <c r="AA784" s="439">
        <v>-20.768999999999998</v>
      </c>
      <c r="AB784" s="439">
        <v>10.961</v>
      </c>
      <c r="AC784" s="439">
        <v>21.25</v>
      </c>
      <c r="AD784" s="439">
        <f t="shared" si="874"/>
        <v>33.347999999999999</v>
      </c>
      <c r="AE784" s="440">
        <v>33.347999999999999</v>
      </c>
      <c r="AF784" s="439">
        <v>82.921000000000006</v>
      </c>
      <c r="AG784" s="439">
        <v>18.545000000000002</v>
      </c>
      <c r="AH784" s="439">
        <v>8.2710000000000008</v>
      </c>
      <c r="AI784" s="439">
        <f>+AJ784</f>
        <v>-8.218</v>
      </c>
      <c r="AJ784" s="440">
        <v>-8.218</v>
      </c>
      <c r="AK784" s="439">
        <v>-35.018999999999998</v>
      </c>
      <c r="AL784" s="439">
        <v>-5.6050000000000004</v>
      </c>
      <c r="AM784" s="439">
        <v>-120</v>
      </c>
      <c r="AN784" s="439">
        <f>AO784</f>
        <v>-36</v>
      </c>
      <c r="AO784" s="440">
        <v>-36</v>
      </c>
      <c r="AP784" s="439">
        <v>-113</v>
      </c>
      <c r="AQ784" s="439">
        <v>-40</v>
      </c>
      <c r="AR784" s="439">
        <v>125</v>
      </c>
      <c r="AS784" s="439">
        <f t="shared" si="875"/>
        <v>363</v>
      </c>
      <c r="AT784" s="440">
        <v>363</v>
      </c>
      <c r="AU784" s="439">
        <v>143</v>
      </c>
      <c r="AV784" s="439">
        <v>206</v>
      </c>
      <c r="AW784" s="726">
        <v>120</v>
      </c>
      <c r="AX784" s="439">
        <f>AW784</f>
        <v>120</v>
      </c>
      <c r="AY784" s="440">
        <f>AX784</f>
        <v>120</v>
      </c>
      <c r="AZ784" s="439">
        <f>AY784</f>
        <v>120</v>
      </c>
      <c r="BA784" s="439">
        <f>AZ784</f>
        <v>120</v>
      </c>
      <c r="BB784" s="439">
        <f>BA784</f>
        <v>120</v>
      </c>
      <c r="BC784" s="439">
        <f>BB784</f>
        <v>120</v>
      </c>
      <c r="BD784" s="440">
        <f>BC784</f>
        <v>120</v>
      </c>
      <c r="BE784" s="440">
        <f>BD784</f>
        <v>120</v>
      </c>
      <c r="BF784" s="440">
        <f>BE784</f>
        <v>120</v>
      </c>
      <c r="BG784" s="440">
        <f>BF784</f>
        <v>120</v>
      </c>
      <c r="BH784" s="361"/>
    </row>
    <row r="785" spans="1:60" s="356" customFormat="1" x14ac:dyDescent="0.25">
      <c r="A785" s="466" t="s">
        <v>293</v>
      </c>
      <c r="B785" s="527"/>
      <c r="C785" s="479">
        <v>-260.654</v>
      </c>
      <c r="D785" s="479">
        <v>-414.98200000000003</v>
      </c>
      <c r="E785" s="479">
        <v>-669.39200000000005</v>
      </c>
      <c r="F785" s="479">
        <v>-1065.606</v>
      </c>
      <c r="G785" s="459">
        <v>-1054.357</v>
      </c>
      <c r="H785" s="459">
        <v>-1084.8579999999999</v>
      </c>
      <c r="I785" s="459">
        <v>-1123.355</v>
      </c>
      <c r="J785" s="459">
        <f>K785</f>
        <v>-1139.6199999999999</v>
      </c>
      <c r="K785" s="479">
        <v>-1139.6199999999999</v>
      </c>
      <c r="L785" s="459">
        <v>-1189.42</v>
      </c>
      <c r="M785" s="459">
        <v>-1251.327</v>
      </c>
      <c r="N785" s="459">
        <v>-1326.0409999999999</v>
      </c>
      <c r="O785" s="459">
        <f>P785</f>
        <v>-1433.66</v>
      </c>
      <c r="P785" s="479">
        <v>-1433.66</v>
      </c>
      <c r="Q785" s="459">
        <v>-1587.8409999999999</v>
      </c>
      <c r="R785" s="459">
        <v>-1772.068</v>
      </c>
      <c r="S785" s="459">
        <v>-2001.9259999999999</v>
      </c>
      <c r="T785" s="459">
        <f>U785</f>
        <v>-2322.3229999999999</v>
      </c>
      <c r="U785" s="479">
        <v>-2322.3229999999999</v>
      </c>
      <c r="V785" s="459">
        <v>-2604.59</v>
      </c>
      <c r="W785" s="459">
        <v>-2897.7779999999998</v>
      </c>
      <c r="X785" s="459">
        <v>-2875.9</v>
      </c>
      <c r="Y785" s="459">
        <f t="shared" si="873"/>
        <v>-2997.2370000000001</v>
      </c>
      <c r="Z785" s="479">
        <v>-2997.2370000000001</v>
      </c>
      <c r="AA785" s="459">
        <v>-3343.1869999999999</v>
      </c>
      <c r="AB785" s="459">
        <v>-3679.5839999999998</v>
      </c>
      <c r="AC785" s="459">
        <v>-4298.96</v>
      </c>
      <c r="AD785" s="459">
        <f t="shared" si="874"/>
        <v>-4974.299</v>
      </c>
      <c r="AE785" s="479">
        <v>-4974.299</v>
      </c>
      <c r="AF785" s="459">
        <v>-5051.2920000000004</v>
      </c>
      <c r="AG785" s="459">
        <v>-5768.8310000000001</v>
      </c>
      <c r="AH785" s="459">
        <v>-5457.3149999999996</v>
      </c>
      <c r="AI785" s="459">
        <f>+AJ785</f>
        <v>-5317.8320000000003</v>
      </c>
      <c r="AJ785" s="479">
        <v>-5317.8320000000003</v>
      </c>
      <c r="AK785" s="459">
        <v>-5923.3050000000003</v>
      </c>
      <c r="AL785" s="459">
        <v>-6331.6390000000001</v>
      </c>
      <c r="AM785" s="459">
        <v>-6188</v>
      </c>
      <c r="AN785" s="459">
        <f>AO785</f>
        <v>-6083</v>
      </c>
      <c r="AO785" s="479">
        <v>-6083</v>
      </c>
      <c r="AP785" s="459">
        <v>-6104</v>
      </c>
      <c r="AQ785" s="459">
        <v>-6000</v>
      </c>
      <c r="AR785" s="459">
        <v>-5669</v>
      </c>
      <c r="AS785" s="459">
        <f t="shared" si="875"/>
        <v>-5399</v>
      </c>
      <c r="AT785" s="479">
        <v>-5399</v>
      </c>
      <c r="AU785" s="459">
        <v>-4750</v>
      </c>
      <c r="AV785" s="459">
        <v>-3608</v>
      </c>
      <c r="AW785" s="723">
        <v>-1990</v>
      </c>
      <c r="AX785" s="459">
        <f ca="1">AW785+AX584+AX656-AX410</f>
        <v>-323.65639659263434</v>
      </c>
      <c r="AY785" s="479">
        <f ca="1">AX785</f>
        <v>-323.65639659263434</v>
      </c>
      <c r="AZ785" s="459">
        <f ca="1">AY785+AZ584+AZ656-AZ410</f>
        <v>2012.411228976378</v>
      </c>
      <c r="BA785" s="459">
        <f ca="1">AZ785+BA584+BA656-BA410</f>
        <v>4710.323327858061</v>
      </c>
      <c r="BB785" s="459">
        <f ca="1">BA785+BB584+BB656-BB410</f>
        <v>8301.7635016448567</v>
      </c>
      <c r="BC785" s="459">
        <f ca="1">BB785+BC584+BC656-BC410</f>
        <v>11816.072928890231</v>
      </c>
      <c r="BD785" s="479">
        <f ca="1">BC785</f>
        <v>11816.072928890231</v>
      </c>
      <c r="BE785" s="479">
        <f ca="1">BD785+BE584+BE656-BE410</f>
        <v>27083.417760245902</v>
      </c>
      <c r="BF785" s="479">
        <f ca="1">BE785+BF584+BF656-BF410</f>
        <v>46071.087571049327</v>
      </c>
      <c r="BG785" s="479">
        <f ca="1">BF785+BG584+BG656-BG410</f>
        <v>69498.045113001397</v>
      </c>
      <c r="BH785" s="361"/>
    </row>
    <row r="786" spans="1:60" s="116" customFormat="1" x14ac:dyDescent="0.25">
      <c r="A786" s="528" t="s">
        <v>294</v>
      </c>
      <c r="B786" s="529"/>
      <c r="C786" s="45">
        <f t="shared" ref="C786:X786" si="877">SUM(C781:C785)</f>
        <v>65.702000000000055</v>
      </c>
      <c r="D786" s="45">
        <f t="shared" si="877"/>
        <v>207.04799999999994</v>
      </c>
      <c r="E786" s="45">
        <f t="shared" si="877"/>
        <v>224.04499999999996</v>
      </c>
      <c r="F786" s="45">
        <f t="shared" si="877"/>
        <v>124.70000000000005</v>
      </c>
      <c r="G786" s="44">
        <f t="shared" si="877"/>
        <v>168.58300000000008</v>
      </c>
      <c r="H786" s="44">
        <f t="shared" si="877"/>
        <v>629.42600000000016</v>
      </c>
      <c r="I786" s="44">
        <f t="shared" si="877"/>
        <v>564.16499999999996</v>
      </c>
      <c r="J786" s="44">
        <f t="shared" si="877"/>
        <v>667.12000000000012</v>
      </c>
      <c r="K786" s="45">
        <f t="shared" si="877"/>
        <v>667.12000000000012</v>
      </c>
      <c r="L786" s="44">
        <f t="shared" si="877"/>
        <v>912.05599999999959</v>
      </c>
      <c r="M786" s="44">
        <f t="shared" si="877"/>
        <v>952.33299999999986</v>
      </c>
      <c r="N786" s="44">
        <f t="shared" si="877"/>
        <v>958.09400000000028</v>
      </c>
      <c r="O786" s="44">
        <f t="shared" si="877"/>
        <v>911.71000000000026</v>
      </c>
      <c r="P786" s="45">
        <f t="shared" si="877"/>
        <v>911.71000000000026</v>
      </c>
      <c r="Q786" s="44">
        <f t="shared" si="877"/>
        <v>825.9970000000003</v>
      </c>
      <c r="R786" s="44">
        <f t="shared" si="877"/>
        <v>715.93399999999997</v>
      </c>
      <c r="S786" s="44">
        <f t="shared" si="877"/>
        <v>1314.6559999999999</v>
      </c>
      <c r="T786" s="44">
        <f t="shared" si="877"/>
        <v>1088.944</v>
      </c>
      <c r="U786" s="45">
        <f t="shared" si="877"/>
        <v>1088.944</v>
      </c>
      <c r="V786" s="44">
        <f t="shared" si="877"/>
        <v>970.36499999999978</v>
      </c>
      <c r="W786" s="44">
        <f t="shared" si="877"/>
        <v>2520.2940000000003</v>
      </c>
      <c r="X786" s="44">
        <f t="shared" si="877"/>
        <v>2680.4879999999998</v>
      </c>
      <c r="Y786" s="44">
        <f t="shared" si="873"/>
        <v>4752.9110000000001</v>
      </c>
      <c r="Z786" s="45">
        <v>4752.9110000000001</v>
      </c>
      <c r="AA786" s="44">
        <f>SUM(AA781:AA785)</f>
        <v>4987.7189999999991</v>
      </c>
      <c r="AB786" s="44">
        <f>SUM(AB781:AB785)</f>
        <v>5105.7519999999995</v>
      </c>
      <c r="AC786" s="44">
        <f>SUM(AC781:AC785)</f>
        <v>4711.4800000000005</v>
      </c>
      <c r="AD786" s="44">
        <f t="shared" si="874"/>
        <v>4237.2419999999993</v>
      </c>
      <c r="AE786" s="45">
        <f t="shared" ref="AE786:AQ786" si="878">SUM(AE781:AE785)</f>
        <v>4237.2419999999993</v>
      </c>
      <c r="AF786" s="44">
        <f t="shared" si="878"/>
        <v>4450.6950000000006</v>
      </c>
      <c r="AG786" s="44">
        <f t="shared" si="878"/>
        <v>3906.4210000000003</v>
      </c>
      <c r="AH786" s="44">
        <f t="shared" si="878"/>
        <v>4508.8380000000006</v>
      </c>
      <c r="AI786" s="44">
        <f t="shared" si="878"/>
        <v>4923.2430000000004</v>
      </c>
      <c r="AJ786" s="45">
        <f t="shared" si="878"/>
        <v>4923.2430000000004</v>
      </c>
      <c r="AK786" s="44">
        <f t="shared" si="878"/>
        <v>4605.5959999999995</v>
      </c>
      <c r="AL786" s="44">
        <f t="shared" si="878"/>
        <v>5715.3930000000009</v>
      </c>
      <c r="AM786" s="44">
        <f t="shared" si="878"/>
        <v>6040</v>
      </c>
      <c r="AN786" s="44">
        <f t="shared" si="878"/>
        <v>6618</v>
      </c>
      <c r="AO786" s="45">
        <f t="shared" si="878"/>
        <v>6618</v>
      </c>
      <c r="AP786" s="44">
        <f t="shared" si="878"/>
        <v>9173</v>
      </c>
      <c r="AQ786" s="44">
        <f t="shared" si="878"/>
        <v>9855</v>
      </c>
      <c r="AR786" s="44">
        <f t="shared" ref="AR786:AS786" si="879">SUM(AR781:AR785)</f>
        <v>16031</v>
      </c>
      <c r="AS786" s="44">
        <f t="shared" si="879"/>
        <v>22225</v>
      </c>
      <c r="AT786" s="45">
        <f t="shared" ref="AT786:AW786" si="880">SUM(AT781:AT785)</f>
        <v>22225</v>
      </c>
      <c r="AU786" s="44">
        <f t="shared" si="880"/>
        <v>23017</v>
      </c>
      <c r="AV786" s="44">
        <f t="shared" si="880"/>
        <v>24804</v>
      </c>
      <c r="AW786" s="729">
        <f t="shared" si="880"/>
        <v>27053</v>
      </c>
      <c r="AX786" s="44">
        <f t="shared" ref="AX786:BG786" ca="1" si="881">SUM(AX781:AX785)</f>
        <v>29034.343603407367</v>
      </c>
      <c r="AY786" s="45">
        <f t="shared" ca="1" si="881"/>
        <v>29034.343603407367</v>
      </c>
      <c r="AZ786" s="44">
        <f t="shared" ca="1" si="881"/>
        <v>31685.41122897638</v>
      </c>
      <c r="BA786" s="44">
        <f t="shared" ca="1" si="881"/>
        <v>34698.323327858059</v>
      </c>
      <c r="BB786" s="44">
        <f t="shared" ca="1" si="881"/>
        <v>38604.763501644855</v>
      </c>
      <c r="BC786" s="44">
        <f t="shared" ca="1" si="881"/>
        <v>42434.072928890229</v>
      </c>
      <c r="BD786" s="45">
        <f t="shared" ca="1" si="881"/>
        <v>42434.072928890229</v>
      </c>
      <c r="BE786" s="45">
        <f t="shared" ca="1" si="881"/>
        <v>58961.417760245902</v>
      </c>
      <c r="BF786" s="45">
        <f t="shared" ca="1" si="881"/>
        <v>79209.087571049327</v>
      </c>
      <c r="BG786" s="45">
        <f t="shared" ca="1" si="881"/>
        <v>103896.0451130014</v>
      </c>
      <c r="BH786" s="368"/>
    </row>
    <row r="787" spans="1:60" s="356" customFormat="1" x14ac:dyDescent="0.25">
      <c r="A787" s="526" t="s">
        <v>295</v>
      </c>
      <c r="B787" s="450"/>
      <c r="C787" s="440"/>
      <c r="D787" s="440"/>
      <c r="E787" s="440"/>
      <c r="F787" s="440"/>
      <c r="G787" s="439"/>
      <c r="H787" s="439"/>
      <c r="I787" s="439"/>
      <c r="J787" s="439"/>
      <c r="K787" s="440"/>
      <c r="L787" s="439"/>
      <c r="M787" s="439"/>
      <c r="N787" s="439"/>
      <c r="O787" s="439"/>
      <c r="P787" s="440"/>
      <c r="Q787" s="439"/>
      <c r="R787" s="439"/>
      <c r="S787" s="439"/>
      <c r="T787" s="439"/>
      <c r="U787" s="440"/>
      <c r="V787" s="439"/>
      <c r="W787" s="439"/>
      <c r="X787" s="439"/>
      <c r="Y787" s="439">
        <f t="shared" si="873"/>
        <v>785.17499999999995</v>
      </c>
      <c r="Z787" s="440">
        <v>785.17499999999995</v>
      </c>
      <c r="AA787" s="439">
        <v>809.07500000000005</v>
      </c>
      <c r="AB787" s="439">
        <v>1108.9860000000001</v>
      </c>
      <c r="AC787" s="439">
        <v>1063.2370000000001</v>
      </c>
      <c r="AD787" s="439">
        <f t="shared" si="874"/>
        <v>997.346</v>
      </c>
      <c r="AE787" s="440">
        <v>997.346</v>
      </c>
      <c r="AF787" s="439">
        <v>863.87599999999998</v>
      </c>
      <c r="AG787" s="439">
        <v>821.15599999999995</v>
      </c>
      <c r="AH787" s="439">
        <v>793.46699999999998</v>
      </c>
      <c r="AI787" s="439">
        <f>AJ787</f>
        <v>834.39700000000005</v>
      </c>
      <c r="AJ787" s="440">
        <v>834.39700000000005</v>
      </c>
      <c r="AK787" s="439">
        <v>862.02599999999995</v>
      </c>
      <c r="AL787" s="439">
        <v>854.84100000000001</v>
      </c>
      <c r="AM787" s="439">
        <v>842</v>
      </c>
      <c r="AN787" s="439">
        <f>AO787</f>
        <v>849</v>
      </c>
      <c r="AO787" s="440">
        <v>849</v>
      </c>
      <c r="AP787" s="439">
        <v>867</v>
      </c>
      <c r="AQ787" s="439">
        <v>869</v>
      </c>
      <c r="AR787" s="439">
        <v>861</v>
      </c>
      <c r="AS787" s="439">
        <f>AT787</f>
        <v>850</v>
      </c>
      <c r="AT787" s="440">
        <v>850</v>
      </c>
      <c r="AU787" s="439">
        <v>847</v>
      </c>
      <c r="AV787" s="439">
        <v>841</v>
      </c>
      <c r="AW787" s="726">
        <v>836</v>
      </c>
      <c r="AX787" s="439">
        <f>AW787+AX410+AX659</f>
        <v>846</v>
      </c>
      <c r="AY787" s="440">
        <f>AX787</f>
        <v>846</v>
      </c>
      <c r="AZ787" s="439">
        <f>AY787+AZ410+AZ659</f>
        <v>856</v>
      </c>
      <c r="BA787" s="439">
        <f>AZ787+BA410+BA659</f>
        <v>866</v>
      </c>
      <c r="BB787" s="439">
        <f>BA787+BB410+BB659</f>
        <v>876</v>
      </c>
      <c r="BC787" s="439">
        <f>BB787+BC410+BC659</f>
        <v>886</v>
      </c>
      <c r="BD787" s="440">
        <f>BC787</f>
        <v>886</v>
      </c>
      <c r="BE787" s="440">
        <f>BD787+BE410+BE659</f>
        <v>926</v>
      </c>
      <c r="BF787" s="440">
        <f>BE787+BF410+BF659</f>
        <v>966</v>
      </c>
      <c r="BG787" s="440">
        <f>BF787+BG410+BG659</f>
        <v>1006</v>
      </c>
      <c r="BH787" s="361"/>
    </row>
    <row r="788" spans="1:60" s="116" customFormat="1" x14ac:dyDescent="0.25">
      <c r="A788" s="530" t="s">
        <v>296</v>
      </c>
      <c r="B788" s="531"/>
      <c r="C788" s="438">
        <f t="shared" ref="C788:AH788" si="882">C786+C778+C787</f>
        <v>130.42400000000004</v>
      </c>
      <c r="D788" s="438">
        <f t="shared" si="882"/>
        <v>386.08199999999994</v>
      </c>
      <c r="E788" s="438">
        <f t="shared" si="882"/>
        <v>713.44799999999998</v>
      </c>
      <c r="F788" s="438">
        <f t="shared" si="882"/>
        <v>1114.19</v>
      </c>
      <c r="G788" s="437">
        <f t="shared" si="882"/>
        <v>1143.7780000000002</v>
      </c>
      <c r="H788" s="437">
        <f t="shared" si="882"/>
        <v>1887.8440000000003</v>
      </c>
      <c r="I788" s="437">
        <f t="shared" si="882"/>
        <v>2166.2089999999998</v>
      </c>
      <c r="J788" s="437">
        <f t="shared" si="882"/>
        <v>2416.9300000000003</v>
      </c>
      <c r="K788" s="438">
        <f t="shared" si="882"/>
        <v>2416.9300000000003</v>
      </c>
      <c r="L788" s="437">
        <f t="shared" si="882"/>
        <v>4500.41</v>
      </c>
      <c r="M788" s="437">
        <f t="shared" si="882"/>
        <v>5054.4629999999997</v>
      </c>
      <c r="N788" s="437">
        <f t="shared" si="882"/>
        <v>5437.5330000000004</v>
      </c>
      <c r="O788" s="437">
        <f t="shared" si="882"/>
        <v>5830.6670000000004</v>
      </c>
      <c r="P788" s="438">
        <f t="shared" si="882"/>
        <v>5830.6670000000004</v>
      </c>
      <c r="Q788" s="437">
        <f t="shared" si="882"/>
        <v>6120.03</v>
      </c>
      <c r="R788" s="437">
        <f t="shared" si="882"/>
        <v>6468.1850000000004</v>
      </c>
      <c r="S788" s="437">
        <f t="shared" si="882"/>
        <v>7547.4970000000003</v>
      </c>
      <c r="T788" s="437">
        <f t="shared" si="882"/>
        <v>8092.4600000000009</v>
      </c>
      <c r="U788" s="438">
        <f t="shared" si="882"/>
        <v>8092.4600000000009</v>
      </c>
      <c r="V788" s="437">
        <f t="shared" si="882"/>
        <v>9191.7020000000011</v>
      </c>
      <c r="W788" s="437">
        <f t="shared" si="882"/>
        <v>11868.951999999999</v>
      </c>
      <c r="X788" s="437">
        <f t="shared" si="882"/>
        <v>12592.397000000001</v>
      </c>
      <c r="Y788" s="437">
        <f t="shared" si="882"/>
        <v>22664.075999999997</v>
      </c>
      <c r="Z788" s="438">
        <f t="shared" si="882"/>
        <v>22664.075999999997</v>
      </c>
      <c r="AA788" s="437">
        <f t="shared" si="882"/>
        <v>25053.725999999999</v>
      </c>
      <c r="AB788" s="437">
        <f t="shared" si="882"/>
        <v>26043.705000000002</v>
      </c>
      <c r="AC788" s="437">
        <f t="shared" si="882"/>
        <v>28107.073999999997</v>
      </c>
      <c r="AD788" s="437">
        <f t="shared" si="882"/>
        <v>28655.371999999999</v>
      </c>
      <c r="AE788" s="438">
        <f t="shared" si="882"/>
        <v>28655.371999999999</v>
      </c>
      <c r="AF788" s="437">
        <f t="shared" si="882"/>
        <v>27271.429</v>
      </c>
      <c r="AG788" s="437">
        <f t="shared" si="882"/>
        <v>27909.999999999996</v>
      </c>
      <c r="AH788" s="437">
        <f t="shared" si="882"/>
        <v>29262.713000000003</v>
      </c>
      <c r="AI788" s="437">
        <f t="shared" ref="AI788:AQ788" si="883">AI786+AI778+AI787</f>
        <v>29739.614000000005</v>
      </c>
      <c r="AJ788" s="438">
        <f t="shared" si="883"/>
        <v>29739.614000000005</v>
      </c>
      <c r="AK788" s="437">
        <f t="shared" si="883"/>
        <v>28912.524000000001</v>
      </c>
      <c r="AL788" s="437">
        <f t="shared" si="883"/>
        <v>31872.597000000002</v>
      </c>
      <c r="AM788" s="437">
        <f t="shared" si="883"/>
        <v>32795</v>
      </c>
      <c r="AN788" s="437">
        <f t="shared" si="883"/>
        <v>34309</v>
      </c>
      <c r="AO788" s="438">
        <f t="shared" si="883"/>
        <v>34309</v>
      </c>
      <c r="AP788" s="437">
        <f t="shared" si="883"/>
        <v>37250</v>
      </c>
      <c r="AQ788" s="437">
        <f t="shared" si="883"/>
        <v>38135</v>
      </c>
      <c r="AR788" s="437">
        <f>AR786+AR778+AR787</f>
        <v>45691</v>
      </c>
      <c r="AS788" s="437">
        <f>AS786+AS778+AS787</f>
        <v>52148</v>
      </c>
      <c r="AT788" s="438">
        <f>AT786+AT778+AT787</f>
        <v>52148</v>
      </c>
      <c r="AU788" s="437">
        <f t="shared" ref="AU788" si="884">AU786+AU778+AU787</f>
        <v>52972</v>
      </c>
      <c r="AV788" s="437">
        <f t="shared" ref="AV788:BG788" si="885">AV786+AV778+AV787</f>
        <v>55146</v>
      </c>
      <c r="AW788" s="725">
        <f t="shared" si="885"/>
        <v>57834</v>
      </c>
      <c r="AX788" s="437">
        <f t="shared" ca="1" si="885"/>
        <v>63853.895252318427</v>
      </c>
      <c r="AY788" s="438">
        <f t="shared" ca="1" si="885"/>
        <v>63853.895252318427</v>
      </c>
      <c r="AZ788" s="437">
        <f t="shared" ca="1" si="885"/>
        <v>69410.879266606236</v>
      </c>
      <c r="BA788" s="437">
        <f t="shared" ca="1" si="885"/>
        <v>76573.758534142748</v>
      </c>
      <c r="BB788" s="437">
        <f t="shared" ca="1" si="885"/>
        <v>85768.939585068438</v>
      </c>
      <c r="BC788" s="437">
        <f t="shared" ca="1" si="885"/>
        <v>99544.952946043806</v>
      </c>
      <c r="BD788" s="438">
        <f t="shared" ca="1" si="885"/>
        <v>99544.952946043806</v>
      </c>
      <c r="BE788" s="438">
        <f t="shared" ca="1" si="885"/>
        <v>126037.82697623968</v>
      </c>
      <c r="BF788" s="438">
        <f t="shared" ca="1" si="885"/>
        <v>158168.56632723843</v>
      </c>
      <c r="BG788" s="438">
        <f t="shared" ca="1" si="885"/>
        <v>197449.49416713824</v>
      </c>
      <c r="BH788" s="368"/>
    </row>
    <row r="789" spans="1:60" s="109" customFormat="1" x14ac:dyDescent="0.25">
      <c r="A789" s="1021"/>
      <c r="B789" s="1021"/>
      <c r="C789" s="1052"/>
      <c r="D789" s="1052"/>
      <c r="E789" s="1052"/>
      <c r="F789" s="1052"/>
      <c r="G789" s="1052"/>
      <c r="H789" s="1052"/>
      <c r="I789" s="1052"/>
      <c r="J789" s="1052"/>
      <c r="K789" s="1052"/>
      <c r="L789" s="1052"/>
      <c r="M789" s="1052"/>
      <c r="N789" s="1052"/>
      <c r="O789" s="1052"/>
      <c r="P789" s="1052"/>
      <c r="Q789" s="1052"/>
      <c r="R789" s="1052"/>
      <c r="S789" s="1052"/>
      <c r="T789" s="1052"/>
      <c r="U789" s="1052"/>
      <c r="V789" s="1052"/>
      <c r="W789" s="1052"/>
      <c r="X789" s="1052"/>
      <c r="Y789" s="1052"/>
      <c r="Z789" s="1052"/>
      <c r="AA789" s="1052"/>
      <c r="AB789" s="1052"/>
      <c r="AC789" s="1052"/>
      <c r="AD789" s="1052"/>
      <c r="AE789" s="1052"/>
      <c r="AF789" s="1052"/>
      <c r="AG789" s="1052"/>
      <c r="AH789" s="1052"/>
      <c r="AI789" s="1052"/>
      <c r="AJ789" s="1052"/>
      <c r="AK789" s="1052"/>
      <c r="AL789" s="1052"/>
      <c r="AM789" s="1052"/>
      <c r="AN789" s="1052"/>
      <c r="AO789" s="1052"/>
      <c r="AP789" s="1052"/>
      <c r="AQ789" s="1052"/>
      <c r="AR789" s="1052"/>
      <c r="AS789" s="1052"/>
      <c r="AT789" s="1052"/>
      <c r="AU789" s="1052"/>
      <c r="AV789" s="1052"/>
      <c r="AW789" s="1053"/>
      <c r="AX789" s="1052"/>
      <c r="AY789" s="1052"/>
      <c r="AZ789" s="1052"/>
      <c r="BA789" s="1052"/>
      <c r="BB789" s="1052"/>
      <c r="BC789" s="1052"/>
      <c r="BD789" s="1052"/>
      <c r="BE789" s="1052"/>
      <c r="BF789" s="1052"/>
      <c r="BG789" s="1052"/>
      <c r="BH789" s="1024"/>
    </row>
    <row r="790" spans="1:60" s="109" customFormat="1" x14ac:dyDescent="0.25">
      <c r="A790" s="65" t="s">
        <v>297</v>
      </c>
      <c r="B790" s="65"/>
      <c r="C790" s="1072">
        <f t="shared" ref="C790:AH790" si="886">ROUND(C749-C788,6)</f>
        <v>0</v>
      </c>
      <c r="D790" s="1072">
        <f t="shared" si="886"/>
        <v>0</v>
      </c>
      <c r="E790" s="1072">
        <f t="shared" si="886"/>
        <v>0</v>
      </c>
      <c r="F790" s="1072">
        <f t="shared" si="886"/>
        <v>0</v>
      </c>
      <c r="G790" s="1072">
        <f t="shared" si="886"/>
        <v>0</v>
      </c>
      <c r="H790" s="1072">
        <f t="shared" si="886"/>
        <v>0</v>
      </c>
      <c r="I790" s="1072">
        <f t="shared" si="886"/>
        <v>0</v>
      </c>
      <c r="J790" s="1072">
        <f t="shared" si="886"/>
        <v>0</v>
      </c>
      <c r="K790" s="1072">
        <f t="shared" si="886"/>
        <v>0</v>
      </c>
      <c r="L790" s="1072">
        <f t="shared" si="886"/>
        <v>0</v>
      </c>
      <c r="M790" s="1072">
        <f t="shared" si="886"/>
        <v>0</v>
      </c>
      <c r="N790" s="1072">
        <f t="shared" si="886"/>
        <v>0</v>
      </c>
      <c r="O790" s="1072">
        <f t="shared" si="886"/>
        <v>0</v>
      </c>
      <c r="P790" s="1072">
        <f t="shared" si="886"/>
        <v>0</v>
      </c>
      <c r="Q790" s="1072">
        <f t="shared" si="886"/>
        <v>0</v>
      </c>
      <c r="R790" s="1072">
        <f t="shared" si="886"/>
        <v>0</v>
      </c>
      <c r="S790" s="1072">
        <f t="shared" si="886"/>
        <v>0</v>
      </c>
      <c r="T790" s="1072">
        <f t="shared" si="886"/>
        <v>0</v>
      </c>
      <c r="U790" s="1072">
        <f t="shared" si="886"/>
        <v>0</v>
      </c>
      <c r="V790" s="1072">
        <f t="shared" si="886"/>
        <v>0</v>
      </c>
      <c r="W790" s="1072">
        <f t="shared" si="886"/>
        <v>0</v>
      </c>
      <c r="X790" s="1072">
        <f t="shared" si="886"/>
        <v>0</v>
      </c>
      <c r="Y790" s="1072">
        <f t="shared" si="886"/>
        <v>0</v>
      </c>
      <c r="Z790" s="1072">
        <f t="shared" si="886"/>
        <v>0</v>
      </c>
      <c r="AA790" s="1072">
        <f t="shared" si="886"/>
        <v>0</v>
      </c>
      <c r="AB790" s="1072">
        <f t="shared" si="886"/>
        <v>0</v>
      </c>
      <c r="AC790" s="1072">
        <f t="shared" si="886"/>
        <v>0</v>
      </c>
      <c r="AD790" s="1072">
        <f t="shared" si="886"/>
        <v>0</v>
      </c>
      <c r="AE790" s="1072">
        <f t="shared" si="886"/>
        <v>0</v>
      </c>
      <c r="AF790" s="1072">
        <f t="shared" si="886"/>
        <v>0</v>
      </c>
      <c r="AG790" s="1072">
        <f t="shared" si="886"/>
        <v>0</v>
      </c>
      <c r="AH790" s="1072">
        <f t="shared" si="886"/>
        <v>0</v>
      </c>
      <c r="AI790" s="1072">
        <f t="shared" ref="AI790:BG790" si="887">ROUND(AI749-AI788,6)</f>
        <v>0</v>
      </c>
      <c r="AJ790" s="1072">
        <f t="shared" si="887"/>
        <v>0</v>
      </c>
      <c r="AK790" s="1072">
        <f t="shared" si="887"/>
        <v>0</v>
      </c>
      <c r="AL790" s="1072">
        <f t="shared" si="887"/>
        <v>0</v>
      </c>
      <c r="AM790" s="1072">
        <f t="shared" si="887"/>
        <v>0</v>
      </c>
      <c r="AN790" s="1072">
        <f t="shared" si="887"/>
        <v>0</v>
      </c>
      <c r="AO790" s="1072">
        <f t="shared" si="887"/>
        <v>0</v>
      </c>
      <c r="AP790" s="1072">
        <f t="shared" si="887"/>
        <v>0</v>
      </c>
      <c r="AQ790" s="1072">
        <f t="shared" si="887"/>
        <v>0</v>
      </c>
      <c r="AR790" s="1072">
        <f t="shared" si="887"/>
        <v>0</v>
      </c>
      <c r="AS790" s="1072">
        <f t="shared" si="887"/>
        <v>0</v>
      </c>
      <c r="AT790" s="1072">
        <f t="shared" si="887"/>
        <v>0</v>
      </c>
      <c r="AU790" s="1072">
        <f t="shared" ref="AU790" si="888">ROUND(AU749-AU788,6)</f>
        <v>0</v>
      </c>
      <c r="AV790" s="1072">
        <f>ROUND(AV749-AV788,6)</f>
        <v>0</v>
      </c>
      <c r="AW790" s="1073">
        <f>ROUND(AW749-AW788,6)</f>
        <v>0</v>
      </c>
      <c r="AX790" s="1072">
        <f t="shared" ca="1" si="887"/>
        <v>0</v>
      </c>
      <c r="AY790" s="1072">
        <f t="shared" ca="1" si="887"/>
        <v>0</v>
      </c>
      <c r="AZ790" s="1072">
        <f t="shared" ca="1" si="887"/>
        <v>0</v>
      </c>
      <c r="BA790" s="1072">
        <f t="shared" ca="1" si="887"/>
        <v>0</v>
      </c>
      <c r="BB790" s="1072">
        <f t="shared" ca="1" si="887"/>
        <v>0</v>
      </c>
      <c r="BC790" s="1072">
        <f t="shared" ca="1" si="887"/>
        <v>0</v>
      </c>
      <c r="BD790" s="1072">
        <f t="shared" ca="1" si="887"/>
        <v>0</v>
      </c>
      <c r="BE790" s="1072">
        <f t="shared" ca="1" si="887"/>
        <v>0</v>
      </c>
      <c r="BF790" s="1072">
        <f t="shared" ca="1" si="887"/>
        <v>0</v>
      </c>
      <c r="BG790" s="1072">
        <f t="shared" ca="1" si="887"/>
        <v>0</v>
      </c>
      <c r="BH790" s="1024"/>
    </row>
    <row r="791" spans="1:60" s="109" customFormat="1" x14ac:dyDescent="0.25">
      <c r="A791" s="1021"/>
      <c r="B791" s="1021"/>
      <c r="C791" s="1052"/>
      <c r="D791" s="1052"/>
      <c r="E791" s="1052"/>
      <c r="F791" s="1052"/>
      <c r="G791" s="1052"/>
      <c r="H791" s="1052"/>
      <c r="I791" s="1052"/>
      <c r="J791" s="1052"/>
      <c r="K791" s="1052"/>
      <c r="L791" s="1052"/>
      <c r="M791" s="1052"/>
      <c r="N791" s="1052"/>
      <c r="O791" s="1052"/>
      <c r="P791" s="1052"/>
      <c r="Q791" s="1052"/>
      <c r="R791" s="1052"/>
      <c r="S791" s="1052"/>
      <c r="T791" s="1052"/>
      <c r="U791" s="1052"/>
      <c r="V791" s="1052"/>
      <c r="W791" s="1052"/>
      <c r="X791" s="1052"/>
      <c r="Y791" s="1052"/>
      <c r="Z791" s="1052"/>
      <c r="AA791" s="1052"/>
      <c r="AB791" s="1052"/>
      <c r="AC791" s="1052"/>
      <c r="AD791" s="1052"/>
      <c r="AE791" s="1052"/>
      <c r="AF791" s="1052"/>
      <c r="AG791" s="1052"/>
      <c r="AH791" s="1052"/>
      <c r="AI791" s="1052"/>
      <c r="AJ791" s="1052"/>
      <c r="AK791" s="1052"/>
      <c r="AL791" s="1052"/>
      <c r="AM791" s="1052"/>
      <c r="AN791" s="1052"/>
      <c r="AO791" s="1052"/>
      <c r="AP791" s="1052"/>
      <c r="AQ791" s="1052"/>
      <c r="AR791" s="1052"/>
      <c r="AS791" s="1052"/>
      <c r="AT791" s="1052"/>
      <c r="AU791" s="1052"/>
      <c r="AV791" s="1052"/>
      <c r="AW791" s="1053"/>
      <c r="AX791" s="1052"/>
      <c r="AY791" s="1052"/>
      <c r="AZ791" s="1052"/>
      <c r="BA791" s="1052"/>
      <c r="BB791" s="1052"/>
      <c r="BC791" s="1052"/>
      <c r="BD791" s="1052"/>
      <c r="BE791" s="1052"/>
      <c r="BF791" s="1052"/>
      <c r="BG791" s="1052"/>
      <c r="BH791" s="1024"/>
    </row>
    <row r="792" spans="1:60" s="112" customFormat="1" x14ac:dyDescent="0.25">
      <c r="A792" s="1025" t="s">
        <v>298</v>
      </c>
      <c r="B792" s="1025"/>
      <c r="C792" s="1070"/>
      <c r="D792" s="1070"/>
      <c r="E792" s="1070"/>
      <c r="F792" s="1070"/>
      <c r="G792" s="1070"/>
      <c r="H792" s="1070"/>
      <c r="I792" s="1070"/>
      <c r="J792" s="1070"/>
      <c r="K792" s="1070"/>
      <c r="L792" s="1070"/>
      <c r="M792" s="1070"/>
      <c r="N792" s="1070"/>
      <c r="O792" s="1070"/>
      <c r="P792" s="1070"/>
      <c r="Q792" s="1070"/>
      <c r="R792" s="1070"/>
      <c r="S792" s="1070"/>
      <c r="T792" s="1070"/>
      <c r="U792" s="1070"/>
      <c r="V792" s="1070"/>
      <c r="W792" s="1070"/>
      <c r="X792" s="1070"/>
      <c r="Y792" s="1070"/>
      <c r="Z792" s="1070"/>
      <c r="AA792" s="1070"/>
      <c r="AB792" s="1070"/>
      <c r="AC792" s="1070"/>
      <c r="AD792" s="1070"/>
      <c r="AE792" s="1070"/>
      <c r="AF792" s="1070"/>
      <c r="AG792" s="1070"/>
      <c r="AH792" s="1070"/>
      <c r="AI792" s="1070"/>
      <c r="AJ792" s="1070"/>
      <c r="AK792" s="1070"/>
      <c r="AL792" s="1070"/>
      <c r="AM792" s="1070"/>
      <c r="AN792" s="1070"/>
      <c r="AO792" s="1070"/>
      <c r="AP792" s="1070"/>
      <c r="AQ792" s="1070"/>
      <c r="AR792" s="1070"/>
      <c r="AS792" s="1070"/>
      <c r="AT792" s="1070"/>
      <c r="AU792" s="1070"/>
      <c r="AV792" s="1070"/>
      <c r="AW792" s="1071"/>
      <c r="AX792" s="1070"/>
      <c r="AY792" s="1070"/>
      <c r="AZ792" s="1070"/>
      <c r="BA792" s="1070"/>
      <c r="BB792" s="1070"/>
      <c r="BC792" s="1070"/>
      <c r="BD792" s="1070"/>
      <c r="BE792" s="1070"/>
      <c r="BF792" s="1070"/>
      <c r="BG792" s="1070"/>
      <c r="BH792" s="1034"/>
    </row>
    <row r="793" spans="1:60" s="109" customFormat="1" x14ac:dyDescent="0.25">
      <c r="A793" s="1024" t="s">
        <v>299</v>
      </c>
      <c r="B793" s="685"/>
      <c r="C793" s="1072">
        <f t="shared" ref="C793:L793" si="889">IF(ISBLANK(INDEX(MO_IS_FirstRow,0,COLUMN())),0,ROUND(C584-C408,6))</f>
        <v>0</v>
      </c>
      <c r="D793" s="1072">
        <f t="shared" si="889"/>
        <v>0</v>
      </c>
      <c r="E793" s="1072">
        <f t="shared" si="889"/>
        <v>0</v>
      </c>
      <c r="F793" s="1072">
        <f t="shared" si="889"/>
        <v>0</v>
      </c>
      <c r="G793" s="1072">
        <f t="shared" si="889"/>
        <v>0</v>
      </c>
      <c r="H793" s="1072">
        <f t="shared" si="889"/>
        <v>0</v>
      </c>
      <c r="I793" s="1072">
        <f t="shared" si="889"/>
        <v>0</v>
      </c>
      <c r="J793" s="1072">
        <f t="shared" si="889"/>
        <v>0</v>
      </c>
      <c r="K793" s="1072">
        <f t="shared" si="889"/>
        <v>0</v>
      </c>
      <c r="L793" s="1072">
        <f t="shared" si="889"/>
        <v>0</v>
      </c>
      <c r="M793" s="1072">
        <f>IF(ISBLANK(INDEX(MO_IS_FirstRow,0,COLUMN())),0,ROUND(M584-M408,2))</f>
        <v>0</v>
      </c>
      <c r="N793" s="1072">
        <f>IF(ISBLANK(INDEX(MO_IS_FirstRow,0,COLUMN())),0,ROUND(N584-N408,2))</f>
        <v>0</v>
      </c>
      <c r="O793" s="1072">
        <f t="shared" ref="O793:BG793" si="890">IF(ISBLANK(INDEX(MO_IS_FirstRow,0,COLUMN())),0,ROUND(O584-O408,6))</f>
        <v>0</v>
      </c>
      <c r="P793" s="1072">
        <f t="shared" si="890"/>
        <v>0</v>
      </c>
      <c r="Q793" s="1072">
        <f t="shared" si="890"/>
        <v>0</v>
      </c>
      <c r="R793" s="1072">
        <f t="shared" si="890"/>
        <v>0</v>
      </c>
      <c r="S793" s="1072">
        <f t="shared" si="890"/>
        <v>0</v>
      </c>
      <c r="T793" s="1072">
        <f t="shared" si="890"/>
        <v>0</v>
      </c>
      <c r="U793" s="1072">
        <f t="shared" si="890"/>
        <v>0</v>
      </c>
      <c r="V793" s="1072">
        <f t="shared" si="890"/>
        <v>0</v>
      </c>
      <c r="W793" s="1072">
        <f t="shared" si="890"/>
        <v>0</v>
      </c>
      <c r="X793" s="1072">
        <f t="shared" si="890"/>
        <v>0</v>
      </c>
      <c r="Y793" s="1072">
        <f t="shared" si="890"/>
        <v>0</v>
      </c>
      <c r="Z793" s="1072">
        <f t="shared" si="890"/>
        <v>0</v>
      </c>
      <c r="AA793" s="1072">
        <f t="shared" si="890"/>
        <v>0</v>
      </c>
      <c r="AB793" s="1072">
        <f t="shared" si="890"/>
        <v>0</v>
      </c>
      <c r="AC793" s="1072">
        <f t="shared" si="890"/>
        <v>0</v>
      </c>
      <c r="AD793" s="1072">
        <f t="shared" si="890"/>
        <v>0</v>
      </c>
      <c r="AE793" s="1072">
        <f t="shared" si="890"/>
        <v>0</v>
      </c>
      <c r="AF793" s="1072">
        <f t="shared" si="890"/>
        <v>0</v>
      </c>
      <c r="AG793" s="1072">
        <f t="shared" si="890"/>
        <v>0</v>
      </c>
      <c r="AH793" s="1072">
        <f t="shared" si="890"/>
        <v>0</v>
      </c>
      <c r="AI793" s="1072">
        <f t="shared" si="890"/>
        <v>0</v>
      </c>
      <c r="AJ793" s="1072">
        <f t="shared" si="890"/>
        <v>0</v>
      </c>
      <c r="AK793" s="1072">
        <f t="shared" si="890"/>
        <v>0</v>
      </c>
      <c r="AL793" s="1072">
        <f t="shared" si="890"/>
        <v>0</v>
      </c>
      <c r="AM793" s="1072">
        <f t="shared" si="890"/>
        <v>-9.2999999999999999E-2</v>
      </c>
      <c r="AN793" s="1072">
        <f t="shared" si="890"/>
        <v>9.2999999999999999E-2</v>
      </c>
      <c r="AO793" s="1072">
        <f t="shared" si="890"/>
        <v>0</v>
      </c>
      <c r="AP793" s="1072">
        <f t="shared" si="890"/>
        <v>0</v>
      </c>
      <c r="AQ793" s="1072">
        <f t="shared" si="890"/>
        <v>0</v>
      </c>
      <c r="AR793" s="1072">
        <f t="shared" si="890"/>
        <v>0</v>
      </c>
      <c r="AS793" s="1072">
        <f t="shared" si="890"/>
        <v>0</v>
      </c>
      <c r="AT793" s="1072">
        <f t="shared" si="890"/>
        <v>0</v>
      </c>
      <c r="AU793" s="1072">
        <f t="shared" si="890"/>
        <v>0</v>
      </c>
      <c r="AV793" s="1072">
        <f t="shared" si="890"/>
        <v>0</v>
      </c>
      <c r="AW793" s="1073">
        <f>IF(ISBLANK(INDEX(MO_IS_FirstRow,0,COLUMN())),0,ROUND(AW584-AW408,6))</f>
        <v>0</v>
      </c>
      <c r="AX793" s="1072">
        <f t="shared" si="890"/>
        <v>0</v>
      </c>
      <c r="AY793" s="1072">
        <f t="shared" si="890"/>
        <v>0</v>
      </c>
      <c r="AZ793" s="1072">
        <f t="shared" si="890"/>
        <v>0</v>
      </c>
      <c r="BA793" s="1072">
        <f t="shared" si="890"/>
        <v>0</v>
      </c>
      <c r="BB793" s="1072">
        <f t="shared" si="890"/>
        <v>0</v>
      </c>
      <c r="BC793" s="1072">
        <f t="shared" si="890"/>
        <v>0</v>
      </c>
      <c r="BD793" s="1072">
        <f t="shared" si="890"/>
        <v>0</v>
      </c>
      <c r="BE793" s="1072">
        <f t="shared" si="890"/>
        <v>0</v>
      </c>
      <c r="BF793" s="1072">
        <f t="shared" si="890"/>
        <v>0</v>
      </c>
      <c r="BG793" s="1072">
        <f t="shared" si="890"/>
        <v>0</v>
      </c>
      <c r="BH793" s="1024"/>
    </row>
    <row r="794" spans="1:60" s="109" customFormat="1" x14ac:dyDescent="0.25">
      <c r="A794" s="1024" t="s">
        <v>300</v>
      </c>
      <c r="B794" s="685"/>
      <c r="C794" s="1072">
        <f t="shared" ref="C794:AJ794" si="891">IF(ISBLANK(INDEX(MO_IS_FirstRow,0,COLUMN())),0,ROUND(C356-C412,6))</f>
        <v>0</v>
      </c>
      <c r="D794" s="1072">
        <f t="shared" si="891"/>
        <v>0</v>
      </c>
      <c r="E794" s="1072">
        <f t="shared" si="891"/>
        <v>0</v>
      </c>
      <c r="F794" s="1072">
        <f t="shared" si="891"/>
        <v>0</v>
      </c>
      <c r="G794" s="1072">
        <f t="shared" si="891"/>
        <v>0</v>
      </c>
      <c r="H794" s="1072">
        <f t="shared" si="891"/>
        <v>0</v>
      </c>
      <c r="I794" s="1072">
        <f t="shared" si="891"/>
        <v>0</v>
      </c>
      <c r="J794" s="1072">
        <f t="shared" si="891"/>
        <v>0</v>
      </c>
      <c r="K794" s="1072">
        <f t="shared" si="891"/>
        <v>0</v>
      </c>
      <c r="L794" s="1072">
        <f t="shared" si="891"/>
        <v>0</v>
      </c>
      <c r="M794" s="1072">
        <f t="shared" si="891"/>
        <v>0</v>
      </c>
      <c r="N794" s="1072">
        <f t="shared" si="891"/>
        <v>0</v>
      </c>
      <c r="O794" s="1072">
        <f t="shared" si="891"/>
        <v>0</v>
      </c>
      <c r="P794" s="1072">
        <f t="shared" si="891"/>
        <v>0</v>
      </c>
      <c r="Q794" s="1072">
        <f t="shared" si="891"/>
        <v>0</v>
      </c>
      <c r="R794" s="1072">
        <f t="shared" si="891"/>
        <v>0</v>
      </c>
      <c r="S794" s="1072">
        <f t="shared" si="891"/>
        <v>0</v>
      </c>
      <c r="T794" s="1072">
        <f t="shared" si="891"/>
        <v>0</v>
      </c>
      <c r="U794" s="1072">
        <f t="shared" si="891"/>
        <v>0</v>
      </c>
      <c r="V794" s="1072">
        <f t="shared" si="891"/>
        <v>0</v>
      </c>
      <c r="W794" s="1072">
        <f t="shared" si="891"/>
        <v>0</v>
      </c>
      <c r="X794" s="1072">
        <f t="shared" si="891"/>
        <v>0</v>
      </c>
      <c r="Y794" s="1072">
        <f t="shared" si="891"/>
        <v>0</v>
      </c>
      <c r="Z794" s="1072">
        <f t="shared" si="891"/>
        <v>0</v>
      </c>
      <c r="AA794" s="1072">
        <f t="shared" si="891"/>
        <v>0</v>
      </c>
      <c r="AB794" s="1072">
        <f t="shared" si="891"/>
        <v>0</v>
      </c>
      <c r="AC794" s="1072">
        <f t="shared" si="891"/>
        <v>0</v>
      </c>
      <c r="AD794" s="1072">
        <f t="shared" si="891"/>
        <v>0</v>
      </c>
      <c r="AE794" s="1072">
        <f t="shared" si="891"/>
        <v>0</v>
      </c>
      <c r="AF794" s="1072">
        <f t="shared" si="891"/>
        <v>0</v>
      </c>
      <c r="AG794" s="1072">
        <f t="shared" si="891"/>
        <v>0</v>
      </c>
      <c r="AH794" s="1072">
        <f t="shared" si="891"/>
        <v>0</v>
      </c>
      <c r="AI794" s="1072">
        <f t="shared" si="891"/>
        <v>0</v>
      </c>
      <c r="AJ794" s="1072">
        <f t="shared" si="891"/>
        <v>0</v>
      </c>
      <c r="AK794" s="1072">
        <f t="shared" ref="AK794:BG794" si="892">IF(ISBLANK(INDEX(MO_IS_FirstRow,0,COLUMN())),0,ROUND(AK356-AK412-AK411,6))</f>
        <v>0</v>
      </c>
      <c r="AL794" s="1072">
        <f t="shared" si="892"/>
        <v>0</v>
      </c>
      <c r="AM794" s="1072">
        <f t="shared" si="892"/>
        <v>0</v>
      </c>
      <c r="AN794" s="1072">
        <f t="shared" si="892"/>
        <v>0</v>
      </c>
      <c r="AO794" s="1072">
        <f t="shared" si="892"/>
        <v>0</v>
      </c>
      <c r="AP794" s="1072">
        <f t="shared" si="892"/>
        <v>0</v>
      </c>
      <c r="AQ794" s="1072">
        <f t="shared" si="892"/>
        <v>0</v>
      </c>
      <c r="AR794" s="1072">
        <f t="shared" si="892"/>
        <v>0</v>
      </c>
      <c r="AS794" s="1072">
        <f t="shared" si="892"/>
        <v>0</v>
      </c>
      <c r="AT794" s="1072">
        <f t="shared" si="892"/>
        <v>0</v>
      </c>
      <c r="AU794" s="1072">
        <f t="shared" si="892"/>
        <v>0</v>
      </c>
      <c r="AV794" s="1072">
        <f t="shared" si="892"/>
        <v>0</v>
      </c>
      <c r="AW794" s="1073">
        <f t="shared" si="892"/>
        <v>0</v>
      </c>
      <c r="AX794" s="1072">
        <f t="shared" si="892"/>
        <v>0</v>
      </c>
      <c r="AY794" s="1072">
        <f t="shared" si="892"/>
        <v>0</v>
      </c>
      <c r="AZ794" s="1072">
        <f t="shared" si="892"/>
        <v>0</v>
      </c>
      <c r="BA794" s="1072">
        <f t="shared" si="892"/>
        <v>0</v>
      </c>
      <c r="BB794" s="1072">
        <f t="shared" si="892"/>
        <v>0</v>
      </c>
      <c r="BC794" s="1072">
        <f t="shared" si="892"/>
        <v>0</v>
      </c>
      <c r="BD794" s="1072">
        <f t="shared" si="892"/>
        <v>0</v>
      </c>
      <c r="BE794" s="1072">
        <f t="shared" si="892"/>
        <v>0</v>
      </c>
      <c r="BF794" s="1072">
        <f t="shared" si="892"/>
        <v>0</v>
      </c>
      <c r="BG794" s="1072">
        <f t="shared" si="892"/>
        <v>0</v>
      </c>
      <c r="BH794" s="1024"/>
    </row>
    <row r="795" spans="1:60" s="109" customFormat="1" x14ac:dyDescent="0.25">
      <c r="A795" s="1024" t="s">
        <v>509</v>
      </c>
      <c r="B795" s="685"/>
      <c r="C795" s="1072">
        <f t="shared" ref="C795:AH795" si="893">IF(C452&lt;0,C452,0)</f>
        <v>0</v>
      </c>
      <c r="D795" s="1072">
        <f t="shared" si="893"/>
        <v>0</v>
      </c>
      <c r="E795" s="1072">
        <f t="shared" si="893"/>
        <v>0</v>
      </c>
      <c r="F795" s="1072">
        <f t="shared" si="893"/>
        <v>0</v>
      </c>
      <c r="G795" s="1072">
        <f t="shared" si="893"/>
        <v>0</v>
      </c>
      <c r="H795" s="1072">
        <f t="shared" si="893"/>
        <v>0</v>
      </c>
      <c r="I795" s="1072">
        <f t="shared" si="893"/>
        <v>0</v>
      </c>
      <c r="J795" s="1072">
        <f t="shared" si="893"/>
        <v>0</v>
      </c>
      <c r="K795" s="1072">
        <f t="shared" si="893"/>
        <v>0</v>
      </c>
      <c r="L795" s="1072">
        <f t="shared" si="893"/>
        <v>0</v>
      </c>
      <c r="M795" s="1072">
        <f t="shared" si="893"/>
        <v>0</v>
      </c>
      <c r="N795" s="1072">
        <f t="shared" si="893"/>
        <v>0</v>
      </c>
      <c r="O795" s="1072">
        <f t="shared" si="893"/>
        <v>0</v>
      </c>
      <c r="P795" s="1072">
        <f t="shared" si="893"/>
        <v>0</v>
      </c>
      <c r="Q795" s="1072">
        <f t="shared" si="893"/>
        <v>0</v>
      </c>
      <c r="R795" s="1072">
        <f t="shared" si="893"/>
        <v>0</v>
      </c>
      <c r="S795" s="1072">
        <f t="shared" si="893"/>
        <v>0</v>
      </c>
      <c r="T795" s="1072">
        <f t="shared" si="893"/>
        <v>0</v>
      </c>
      <c r="U795" s="1072">
        <f t="shared" si="893"/>
        <v>0</v>
      </c>
      <c r="V795" s="1072">
        <f t="shared" si="893"/>
        <v>0</v>
      </c>
      <c r="W795" s="1072">
        <f t="shared" si="893"/>
        <v>0</v>
      </c>
      <c r="X795" s="1072">
        <f t="shared" si="893"/>
        <v>0</v>
      </c>
      <c r="Y795" s="1072">
        <f t="shared" si="893"/>
        <v>0</v>
      </c>
      <c r="Z795" s="1072">
        <f t="shared" si="893"/>
        <v>0</v>
      </c>
      <c r="AA795" s="1072">
        <f t="shared" si="893"/>
        <v>0</v>
      </c>
      <c r="AB795" s="1072">
        <f t="shared" si="893"/>
        <v>0</v>
      </c>
      <c r="AC795" s="1072">
        <f t="shared" si="893"/>
        <v>0</v>
      </c>
      <c r="AD795" s="1072">
        <f t="shared" si="893"/>
        <v>0</v>
      </c>
      <c r="AE795" s="1072">
        <f t="shared" si="893"/>
        <v>0</v>
      </c>
      <c r="AF795" s="1072">
        <f t="shared" si="893"/>
        <v>0</v>
      </c>
      <c r="AG795" s="1072">
        <f t="shared" si="893"/>
        <v>0</v>
      </c>
      <c r="AH795" s="1072">
        <f t="shared" si="893"/>
        <v>0</v>
      </c>
      <c r="AI795" s="1072">
        <f t="shared" ref="AI795:BG795" si="894">IF(AI452&lt;0,AI452,0)</f>
        <v>0</v>
      </c>
      <c r="AJ795" s="1072">
        <f t="shared" si="894"/>
        <v>0</v>
      </c>
      <c r="AK795" s="1072">
        <f t="shared" si="894"/>
        <v>0</v>
      </c>
      <c r="AL795" s="1072">
        <f t="shared" si="894"/>
        <v>0</v>
      </c>
      <c r="AM795" s="1072">
        <f t="shared" si="894"/>
        <v>0</v>
      </c>
      <c r="AN795" s="1072">
        <f t="shared" si="894"/>
        <v>0</v>
      </c>
      <c r="AO795" s="1072">
        <f t="shared" si="894"/>
        <v>0</v>
      </c>
      <c r="AP795" s="1072">
        <f t="shared" si="894"/>
        <v>0</v>
      </c>
      <c r="AQ795" s="1072">
        <f t="shared" si="894"/>
        <v>0</v>
      </c>
      <c r="AR795" s="1072">
        <f t="shared" si="894"/>
        <v>0</v>
      </c>
      <c r="AS795" s="1072">
        <f t="shared" si="894"/>
        <v>0</v>
      </c>
      <c r="AT795" s="1072">
        <f t="shared" si="894"/>
        <v>0</v>
      </c>
      <c r="AU795" s="1072">
        <f t="shared" si="894"/>
        <v>0</v>
      </c>
      <c r="AV795" s="1072">
        <f t="shared" si="894"/>
        <v>0</v>
      </c>
      <c r="AW795" s="1073">
        <f>IF(AW452&lt;0,AW452,0)</f>
        <v>0</v>
      </c>
      <c r="AX795" s="1072">
        <f t="shared" ca="1" si="894"/>
        <v>0</v>
      </c>
      <c r="AY795" s="1072">
        <f t="shared" ca="1" si="894"/>
        <v>0</v>
      </c>
      <c r="AZ795" s="1072">
        <f t="shared" ca="1" si="894"/>
        <v>0</v>
      </c>
      <c r="BA795" s="1072">
        <f t="shared" ca="1" si="894"/>
        <v>0</v>
      </c>
      <c r="BB795" s="1072">
        <f t="shared" ca="1" si="894"/>
        <v>0</v>
      </c>
      <c r="BC795" s="1072">
        <f t="shared" ca="1" si="894"/>
        <v>0</v>
      </c>
      <c r="BD795" s="1072">
        <f t="shared" ca="1" si="894"/>
        <v>0</v>
      </c>
      <c r="BE795" s="1072">
        <f t="shared" ca="1" si="894"/>
        <v>0</v>
      </c>
      <c r="BF795" s="1072">
        <f t="shared" ca="1" si="894"/>
        <v>0</v>
      </c>
      <c r="BG795" s="1072">
        <f t="shared" ca="1" si="894"/>
        <v>0</v>
      </c>
      <c r="BH795" s="1024"/>
    </row>
    <row r="796" spans="1:60" s="109" customFormat="1" x14ac:dyDescent="0.25">
      <c r="A796" s="1024" t="s">
        <v>510</v>
      </c>
      <c r="B796" s="685"/>
      <c r="C796" s="1072">
        <f t="shared" ref="C796:AH796" si="895">IF(C455&lt;0,C455,0)</f>
        <v>0</v>
      </c>
      <c r="D796" s="1072">
        <f t="shared" si="895"/>
        <v>0</v>
      </c>
      <c r="E796" s="1072">
        <f t="shared" si="895"/>
        <v>0</v>
      </c>
      <c r="F796" s="1072">
        <f t="shared" si="895"/>
        <v>0</v>
      </c>
      <c r="G796" s="1072">
        <f t="shared" si="895"/>
        <v>0</v>
      </c>
      <c r="H796" s="1072">
        <f t="shared" si="895"/>
        <v>0</v>
      </c>
      <c r="I796" s="1072">
        <f t="shared" si="895"/>
        <v>0</v>
      </c>
      <c r="J796" s="1072">
        <f t="shared" si="895"/>
        <v>0</v>
      </c>
      <c r="K796" s="1072">
        <f t="shared" si="895"/>
        <v>0</v>
      </c>
      <c r="L796" s="1072">
        <f t="shared" si="895"/>
        <v>0</v>
      </c>
      <c r="M796" s="1072">
        <f t="shared" si="895"/>
        <v>0</v>
      </c>
      <c r="N796" s="1072">
        <f t="shared" si="895"/>
        <v>0</v>
      </c>
      <c r="O796" s="1072">
        <f t="shared" si="895"/>
        <v>0</v>
      </c>
      <c r="P796" s="1072">
        <f t="shared" si="895"/>
        <v>0</v>
      </c>
      <c r="Q796" s="1072">
        <f t="shared" si="895"/>
        <v>0</v>
      </c>
      <c r="R796" s="1072">
        <f t="shared" si="895"/>
        <v>0</v>
      </c>
      <c r="S796" s="1072">
        <f t="shared" si="895"/>
        <v>0</v>
      </c>
      <c r="T796" s="1072">
        <f t="shared" si="895"/>
        <v>0</v>
      </c>
      <c r="U796" s="1072">
        <f t="shared" si="895"/>
        <v>0</v>
      </c>
      <c r="V796" s="1072">
        <f t="shared" si="895"/>
        <v>0</v>
      </c>
      <c r="W796" s="1072">
        <f t="shared" si="895"/>
        <v>0</v>
      </c>
      <c r="X796" s="1072">
        <f t="shared" si="895"/>
        <v>0</v>
      </c>
      <c r="Y796" s="1072">
        <f t="shared" si="895"/>
        <v>0</v>
      </c>
      <c r="Z796" s="1072">
        <f t="shared" si="895"/>
        <v>0</v>
      </c>
      <c r="AA796" s="1072">
        <f t="shared" si="895"/>
        <v>0</v>
      </c>
      <c r="AB796" s="1072">
        <f t="shared" si="895"/>
        <v>0</v>
      </c>
      <c r="AC796" s="1072">
        <f t="shared" si="895"/>
        <v>0</v>
      </c>
      <c r="AD796" s="1072">
        <f t="shared" si="895"/>
        <v>0</v>
      </c>
      <c r="AE796" s="1072">
        <f t="shared" si="895"/>
        <v>0</v>
      </c>
      <c r="AF796" s="1072">
        <f t="shared" si="895"/>
        <v>0</v>
      </c>
      <c r="AG796" s="1072">
        <f t="shared" si="895"/>
        <v>0</v>
      </c>
      <c r="AH796" s="1072">
        <f t="shared" si="895"/>
        <v>0</v>
      </c>
      <c r="AI796" s="1072">
        <f t="shared" ref="AI796:BG796" si="896">IF(AI455&lt;0,AI455,0)</f>
        <v>0</v>
      </c>
      <c r="AJ796" s="1072">
        <f t="shared" si="896"/>
        <v>0</v>
      </c>
      <c r="AK796" s="1072">
        <f t="shared" si="896"/>
        <v>0</v>
      </c>
      <c r="AL796" s="1072">
        <f t="shared" si="896"/>
        <v>0</v>
      </c>
      <c r="AM796" s="1072">
        <f t="shared" si="896"/>
        <v>0</v>
      </c>
      <c r="AN796" s="1072">
        <f t="shared" si="896"/>
        <v>0</v>
      </c>
      <c r="AO796" s="1072">
        <f t="shared" si="896"/>
        <v>0</v>
      </c>
      <c r="AP796" s="1072">
        <f t="shared" si="896"/>
        <v>0</v>
      </c>
      <c r="AQ796" s="1072">
        <f t="shared" si="896"/>
        <v>0</v>
      </c>
      <c r="AR796" s="1072">
        <f t="shared" si="896"/>
        <v>0</v>
      </c>
      <c r="AS796" s="1072">
        <f t="shared" si="896"/>
        <v>0</v>
      </c>
      <c r="AT796" s="1072">
        <f t="shared" si="896"/>
        <v>0</v>
      </c>
      <c r="AU796" s="1072">
        <f t="shared" si="896"/>
        <v>0</v>
      </c>
      <c r="AV796" s="1072">
        <f t="shared" si="896"/>
        <v>0</v>
      </c>
      <c r="AW796" s="1073">
        <f>IF(AW455&lt;0,AW455,0)</f>
        <v>0</v>
      </c>
      <c r="AX796" s="1072">
        <f t="shared" si="896"/>
        <v>0</v>
      </c>
      <c r="AY796" s="1072">
        <f t="shared" si="896"/>
        <v>0</v>
      </c>
      <c r="AZ796" s="1072">
        <f t="shared" si="896"/>
        <v>0</v>
      </c>
      <c r="BA796" s="1072">
        <f t="shared" si="896"/>
        <v>0</v>
      </c>
      <c r="BB796" s="1072">
        <f t="shared" si="896"/>
        <v>0</v>
      </c>
      <c r="BC796" s="1072">
        <f t="shared" si="896"/>
        <v>0</v>
      </c>
      <c r="BD796" s="1072">
        <f t="shared" si="896"/>
        <v>0</v>
      </c>
      <c r="BE796" s="1072">
        <f t="shared" si="896"/>
        <v>0</v>
      </c>
      <c r="BF796" s="1072">
        <f t="shared" si="896"/>
        <v>0</v>
      </c>
      <c r="BG796" s="1072">
        <f t="shared" si="896"/>
        <v>0</v>
      </c>
      <c r="BH796" s="1024"/>
    </row>
    <row r="797" spans="1:60" s="109" customFormat="1" x14ac:dyDescent="0.25">
      <c r="A797" s="1024" t="s">
        <v>814</v>
      </c>
      <c r="B797" s="685"/>
      <c r="C797" s="1072">
        <f t="shared" ref="C797:AH797" si="897">ROUND(C274-INDEX(MO_RIS_EBIT,0,COLUMN()),6)</f>
        <v>0</v>
      </c>
      <c r="D797" s="1072">
        <f t="shared" si="897"/>
        <v>0</v>
      </c>
      <c r="E797" s="1072">
        <f t="shared" si="897"/>
        <v>0</v>
      </c>
      <c r="F797" s="1072">
        <f t="shared" si="897"/>
        <v>0</v>
      </c>
      <c r="G797" s="1072">
        <f t="shared" si="897"/>
        <v>0</v>
      </c>
      <c r="H797" s="1072">
        <f t="shared" si="897"/>
        <v>0</v>
      </c>
      <c r="I797" s="1072">
        <f t="shared" si="897"/>
        <v>0</v>
      </c>
      <c r="J797" s="1072">
        <f t="shared" si="897"/>
        <v>0</v>
      </c>
      <c r="K797" s="1072">
        <f t="shared" si="897"/>
        <v>0</v>
      </c>
      <c r="L797" s="1072">
        <f t="shared" si="897"/>
        <v>0</v>
      </c>
      <c r="M797" s="1072">
        <f t="shared" si="897"/>
        <v>0</v>
      </c>
      <c r="N797" s="1072">
        <f t="shared" si="897"/>
        <v>0</v>
      </c>
      <c r="O797" s="1072">
        <f t="shared" si="897"/>
        <v>0</v>
      </c>
      <c r="P797" s="1072">
        <f t="shared" si="897"/>
        <v>0</v>
      </c>
      <c r="Q797" s="1072">
        <f t="shared" si="897"/>
        <v>0</v>
      </c>
      <c r="R797" s="1072">
        <f t="shared" si="897"/>
        <v>0</v>
      </c>
      <c r="S797" s="1072">
        <f t="shared" si="897"/>
        <v>0</v>
      </c>
      <c r="T797" s="1072">
        <f t="shared" si="897"/>
        <v>0</v>
      </c>
      <c r="U797" s="1072">
        <f t="shared" si="897"/>
        <v>0</v>
      </c>
      <c r="V797" s="1072">
        <f t="shared" si="897"/>
        <v>0</v>
      </c>
      <c r="W797" s="1072">
        <f t="shared" si="897"/>
        <v>0</v>
      </c>
      <c r="X797" s="1072">
        <f t="shared" si="897"/>
        <v>0</v>
      </c>
      <c r="Y797" s="1072">
        <f t="shared" si="897"/>
        <v>0</v>
      </c>
      <c r="Z797" s="1072">
        <f t="shared" si="897"/>
        <v>0</v>
      </c>
      <c r="AA797" s="1072">
        <f t="shared" si="897"/>
        <v>0</v>
      </c>
      <c r="AB797" s="1072">
        <f t="shared" si="897"/>
        <v>0</v>
      </c>
      <c r="AC797" s="1072">
        <f t="shared" si="897"/>
        <v>0</v>
      </c>
      <c r="AD797" s="1072">
        <f t="shared" si="897"/>
        <v>0</v>
      </c>
      <c r="AE797" s="1072">
        <f t="shared" si="897"/>
        <v>0</v>
      </c>
      <c r="AF797" s="1072">
        <f t="shared" si="897"/>
        <v>0</v>
      </c>
      <c r="AG797" s="1072">
        <f t="shared" si="897"/>
        <v>0</v>
      </c>
      <c r="AH797" s="1072">
        <f t="shared" si="897"/>
        <v>0</v>
      </c>
      <c r="AI797" s="1072">
        <f t="shared" ref="AI797:BG797" si="898">ROUND(AI274-INDEX(MO_RIS_EBIT,0,COLUMN()),6)</f>
        <v>0</v>
      </c>
      <c r="AJ797" s="1072">
        <f t="shared" si="898"/>
        <v>0</v>
      </c>
      <c r="AK797" s="1072">
        <f t="shared" si="898"/>
        <v>0</v>
      </c>
      <c r="AL797" s="1072">
        <f t="shared" si="898"/>
        <v>0</v>
      </c>
      <c r="AM797" s="1072">
        <f t="shared" si="898"/>
        <v>0</v>
      </c>
      <c r="AN797" s="1072">
        <f t="shared" si="898"/>
        <v>0</v>
      </c>
      <c r="AO797" s="1072">
        <f t="shared" si="898"/>
        <v>0</v>
      </c>
      <c r="AP797" s="1072">
        <f t="shared" si="898"/>
        <v>0</v>
      </c>
      <c r="AQ797" s="1072">
        <f t="shared" si="898"/>
        <v>0</v>
      </c>
      <c r="AR797" s="1072">
        <f t="shared" si="898"/>
        <v>0</v>
      </c>
      <c r="AS797" s="1072">
        <f t="shared" si="898"/>
        <v>0</v>
      </c>
      <c r="AT797" s="1072">
        <f t="shared" si="898"/>
        <v>0</v>
      </c>
      <c r="AU797" s="1072">
        <f t="shared" si="898"/>
        <v>0</v>
      </c>
      <c r="AV797" s="1072">
        <f t="shared" si="898"/>
        <v>0</v>
      </c>
      <c r="AW797" s="1073">
        <f t="shared" si="898"/>
        <v>0</v>
      </c>
      <c r="AX797" s="1072">
        <f t="shared" si="898"/>
        <v>0</v>
      </c>
      <c r="AY797" s="1072">
        <f t="shared" si="898"/>
        <v>0</v>
      </c>
      <c r="AZ797" s="1072">
        <f t="shared" si="898"/>
        <v>0</v>
      </c>
      <c r="BA797" s="1072">
        <f t="shared" si="898"/>
        <v>0</v>
      </c>
      <c r="BB797" s="1072">
        <f t="shared" si="898"/>
        <v>0</v>
      </c>
      <c r="BC797" s="1072">
        <f t="shared" si="898"/>
        <v>0</v>
      </c>
      <c r="BD797" s="1072">
        <f t="shared" si="898"/>
        <v>0</v>
      </c>
      <c r="BE797" s="1072">
        <f t="shared" si="898"/>
        <v>0</v>
      </c>
      <c r="BF797" s="1072">
        <f t="shared" si="898"/>
        <v>0</v>
      </c>
      <c r="BG797" s="1072">
        <f t="shared" si="898"/>
        <v>0</v>
      </c>
      <c r="BH797" s="1024"/>
    </row>
    <row r="798" spans="1:60" s="109" customFormat="1" x14ac:dyDescent="0.25">
      <c r="A798" s="1024" t="s">
        <v>813</v>
      </c>
      <c r="B798" s="685"/>
      <c r="C798" s="1072">
        <f t="shared" ref="C798:AH798" si="899">IF(ISBLANK(INDEX(MO_IS_FirstRow,0,COLUMN())),0,ROUND(C348-INDEX(MO_RIS_EBIT,0,COLUMN()),6))</f>
        <v>0</v>
      </c>
      <c r="D798" s="1072">
        <f t="shared" si="899"/>
        <v>0</v>
      </c>
      <c r="E798" s="1072">
        <f t="shared" si="899"/>
        <v>0</v>
      </c>
      <c r="F798" s="1072">
        <f t="shared" si="899"/>
        <v>0</v>
      </c>
      <c r="G798" s="1072">
        <f t="shared" si="899"/>
        <v>0</v>
      </c>
      <c r="H798" s="1072">
        <f t="shared" si="899"/>
        <v>0</v>
      </c>
      <c r="I798" s="1072">
        <f t="shared" si="899"/>
        <v>0</v>
      </c>
      <c r="J798" s="1072">
        <f t="shared" si="899"/>
        <v>0</v>
      </c>
      <c r="K798" s="1072">
        <f t="shared" si="899"/>
        <v>0</v>
      </c>
      <c r="L798" s="1072">
        <f t="shared" si="899"/>
        <v>0</v>
      </c>
      <c r="M798" s="1072">
        <f t="shared" si="899"/>
        <v>0</v>
      </c>
      <c r="N798" s="1072">
        <f t="shared" si="899"/>
        <v>0</v>
      </c>
      <c r="O798" s="1072">
        <f t="shared" si="899"/>
        <v>0</v>
      </c>
      <c r="P798" s="1072">
        <f t="shared" si="899"/>
        <v>0</v>
      </c>
      <c r="Q798" s="1072">
        <f t="shared" si="899"/>
        <v>0</v>
      </c>
      <c r="R798" s="1072">
        <f t="shared" si="899"/>
        <v>0</v>
      </c>
      <c r="S798" s="1072">
        <f t="shared" si="899"/>
        <v>0</v>
      </c>
      <c r="T798" s="1072">
        <f t="shared" si="899"/>
        <v>0</v>
      </c>
      <c r="U798" s="1072">
        <f t="shared" si="899"/>
        <v>0</v>
      </c>
      <c r="V798" s="1072">
        <f t="shared" si="899"/>
        <v>0</v>
      </c>
      <c r="W798" s="1072">
        <f t="shared" si="899"/>
        <v>0</v>
      </c>
      <c r="X798" s="1072">
        <f t="shared" si="899"/>
        <v>0</v>
      </c>
      <c r="Y798" s="1072">
        <f t="shared" si="899"/>
        <v>0</v>
      </c>
      <c r="Z798" s="1072">
        <f t="shared" si="899"/>
        <v>0</v>
      </c>
      <c r="AA798" s="1072">
        <f t="shared" si="899"/>
        <v>0</v>
      </c>
      <c r="AB798" s="1072">
        <f t="shared" si="899"/>
        <v>0</v>
      </c>
      <c r="AC798" s="1072">
        <f t="shared" si="899"/>
        <v>0</v>
      </c>
      <c r="AD798" s="1072">
        <f t="shared" si="899"/>
        <v>0</v>
      </c>
      <c r="AE798" s="1072">
        <f t="shared" si="899"/>
        <v>0</v>
      </c>
      <c r="AF798" s="1072">
        <f t="shared" si="899"/>
        <v>0</v>
      </c>
      <c r="AG798" s="1072">
        <f t="shared" si="899"/>
        <v>0</v>
      </c>
      <c r="AH798" s="1072">
        <f t="shared" si="899"/>
        <v>0</v>
      </c>
      <c r="AI798" s="1072">
        <f t="shared" ref="AI798:BG798" si="900">IF(ISBLANK(INDEX(MO_IS_FirstRow,0,COLUMN())),0,ROUND(AI348-INDEX(MO_RIS_EBIT,0,COLUMN()),6))</f>
        <v>0</v>
      </c>
      <c r="AJ798" s="1072">
        <f t="shared" si="900"/>
        <v>0</v>
      </c>
      <c r="AK798" s="1072">
        <f t="shared" si="900"/>
        <v>0</v>
      </c>
      <c r="AL798" s="1072">
        <f t="shared" si="900"/>
        <v>0</v>
      </c>
      <c r="AM798" s="1072">
        <f t="shared" si="900"/>
        <v>0</v>
      </c>
      <c r="AN798" s="1072">
        <f t="shared" si="900"/>
        <v>0</v>
      </c>
      <c r="AO798" s="1072">
        <f t="shared" si="900"/>
        <v>0</v>
      </c>
      <c r="AP798" s="1072">
        <f t="shared" si="900"/>
        <v>0</v>
      </c>
      <c r="AQ798" s="1072">
        <f t="shared" si="900"/>
        <v>0</v>
      </c>
      <c r="AR798" s="1072">
        <f t="shared" si="900"/>
        <v>0</v>
      </c>
      <c r="AS798" s="1072">
        <f t="shared" si="900"/>
        <v>0</v>
      </c>
      <c r="AT798" s="1072">
        <f t="shared" si="900"/>
        <v>0</v>
      </c>
      <c r="AU798" s="1072">
        <f t="shared" si="900"/>
        <v>0</v>
      </c>
      <c r="AV798" s="1072">
        <f t="shared" si="900"/>
        <v>0</v>
      </c>
      <c r="AW798" s="1073">
        <f t="shared" si="900"/>
        <v>0</v>
      </c>
      <c r="AX798" s="1072">
        <f t="shared" si="900"/>
        <v>0</v>
      </c>
      <c r="AY798" s="1072">
        <f t="shared" si="900"/>
        <v>0</v>
      </c>
      <c r="AZ798" s="1072">
        <f t="shared" si="900"/>
        <v>0</v>
      </c>
      <c r="BA798" s="1072">
        <f t="shared" si="900"/>
        <v>0</v>
      </c>
      <c r="BB798" s="1072">
        <f t="shared" si="900"/>
        <v>0</v>
      </c>
      <c r="BC798" s="1072">
        <f t="shared" si="900"/>
        <v>0</v>
      </c>
      <c r="BD798" s="1072">
        <f t="shared" si="900"/>
        <v>0</v>
      </c>
      <c r="BE798" s="1072">
        <f t="shared" si="900"/>
        <v>0</v>
      </c>
      <c r="BF798" s="1072">
        <f t="shared" si="900"/>
        <v>0</v>
      </c>
      <c r="BG798" s="1072">
        <f t="shared" si="900"/>
        <v>0</v>
      </c>
      <c r="BH798" s="1024"/>
    </row>
    <row r="799" spans="1:60" s="109" customFormat="1" x14ac:dyDescent="0.25">
      <c r="A799" s="1024" t="s">
        <v>301</v>
      </c>
      <c r="B799" s="685"/>
      <c r="C799" s="1072">
        <f t="shared" ref="C799:AH799" si="901">IF(AND(ISBLANK(C224),ISBLANK(C226)),0,ROUND(C381-C224-C226-C225-C227,6))</f>
        <v>0</v>
      </c>
      <c r="D799" s="1072">
        <f t="shared" si="901"/>
        <v>0</v>
      </c>
      <c r="E799" s="1072">
        <f t="shared" si="901"/>
        <v>0</v>
      </c>
      <c r="F799" s="1072">
        <f t="shared" si="901"/>
        <v>0</v>
      </c>
      <c r="G799" s="1072">
        <f t="shared" si="901"/>
        <v>0</v>
      </c>
      <c r="H799" s="1072">
        <f t="shared" si="901"/>
        <v>0</v>
      </c>
      <c r="I799" s="1072">
        <f t="shared" si="901"/>
        <v>0</v>
      </c>
      <c r="J799" s="1072">
        <f t="shared" si="901"/>
        <v>0</v>
      </c>
      <c r="K799" s="1072">
        <f t="shared" si="901"/>
        <v>0</v>
      </c>
      <c r="L799" s="1072">
        <f t="shared" si="901"/>
        <v>0</v>
      </c>
      <c r="M799" s="1072">
        <f t="shared" si="901"/>
        <v>0</v>
      </c>
      <c r="N799" s="1072">
        <f t="shared" si="901"/>
        <v>0</v>
      </c>
      <c r="O799" s="1072">
        <f t="shared" si="901"/>
        <v>0</v>
      </c>
      <c r="P799" s="1072">
        <f t="shared" si="901"/>
        <v>0</v>
      </c>
      <c r="Q799" s="1072">
        <f t="shared" si="901"/>
        <v>0</v>
      </c>
      <c r="R799" s="1072">
        <f t="shared" si="901"/>
        <v>0</v>
      </c>
      <c r="S799" s="1072">
        <f t="shared" si="901"/>
        <v>0</v>
      </c>
      <c r="T799" s="1072">
        <f t="shared" si="901"/>
        <v>0</v>
      </c>
      <c r="U799" s="1072">
        <f t="shared" si="901"/>
        <v>0</v>
      </c>
      <c r="V799" s="1072">
        <f t="shared" si="901"/>
        <v>0</v>
      </c>
      <c r="W799" s="1072">
        <f t="shared" si="901"/>
        <v>0</v>
      </c>
      <c r="X799" s="1072">
        <f t="shared" si="901"/>
        <v>0</v>
      </c>
      <c r="Y799" s="1072">
        <f t="shared" si="901"/>
        <v>0</v>
      </c>
      <c r="Z799" s="1072">
        <f t="shared" si="901"/>
        <v>0</v>
      </c>
      <c r="AA799" s="1072">
        <f t="shared" si="901"/>
        <v>0</v>
      </c>
      <c r="AB799" s="1072">
        <f t="shared" si="901"/>
        <v>0</v>
      </c>
      <c r="AC799" s="1072">
        <f t="shared" si="901"/>
        <v>0</v>
      </c>
      <c r="AD799" s="1072">
        <f t="shared" si="901"/>
        <v>0</v>
      </c>
      <c r="AE799" s="1072">
        <f t="shared" si="901"/>
        <v>0</v>
      </c>
      <c r="AF799" s="1072">
        <f t="shared" si="901"/>
        <v>0</v>
      </c>
      <c r="AG799" s="1072">
        <f t="shared" si="901"/>
        <v>0</v>
      </c>
      <c r="AH799" s="1072">
        <f t="shared" si="901"/>
        <v>0</v>
      </c>
      <c r="AI799" s="1072">
        <f t="shared" ref="AI799:BG799" si="902">IF(AND(ISBLANK(AI224),ISBLANK(AI226)),0,ROUND(AI381-AI224-AI226-AI225-AI227,6))</f>
        <v>0</v>
      </c>
      <c r="AJ799" s="1072">
        <f t="shared" si="902"/>
        <v>0</v>
      </c>
      <c r="AK799" s="1072">
        <f t="shared" si="902"/>
        <v>0</v>
      </c>
      <c r="AL799" s="1072">
        <f t="shared" si="902"/>
        <v>0</v>
      </c>
      <c r="AM799" s="1072">
        <f t="shared" si="902"/>
        <v>0</v>
      </c>
      <c r="AN799" s="1072">
        <f t="shared" si="902"/>
        <v>0</v>
      </c>
      <c r="AO799" s="1072">
        <f t="shared" si="902"/>
        <v>0</v>
      </c>
      <c r="AP799" s="1072">
        <f t="shared" si="902"/>
        <v>0</v>
      </c>
      <c r="AQ799" s="1072">
        <f t="shared" si="902"/>
        <v>0</v>
      </c>
      <c r="AR799" s="1072">
        <f t="shared" si="902"/>
        <v>0</v>
      </c>
      <c r="AS799" s="1072">
        <f t="shared" si="902"/>
        <v>0</v>
      </c>
      <c r="AT799" s="1072">
        <f t="shared" si="902"/>
        <v>0</v>
      </c>
      <c r="AU799" s="1072">
        <f t="shared" si="902"/>
        <v>0</v>
      </c>
      <c r="AV799" s="1072">
        <f t="shared" si="902"/>
        <v>0</v>
      </c>
      <c r="AW799" s="1073">
        <f t="shared" si="902"/>
        <v>0</v>
      </c>
      <c r="AX799" s="1072">
        <f t="shared" si="902"/>
        <v>0</v>
      </c>
      <c r="AY799" s="1072">
        <f t="shared" si="902"/>
        <v>0</v>
      </c>
      <c r="AZ799" s="1072">
        <f t="shared" si="902"/>
        <v>0</v>
      </c>
      <c r="BA799" s="1072">
        <f t="shared" si="902"/>
        <v>0</v>
      </c>
      <c r="BB799" s="1072">
        <f t="shared" si="902"/>
        <v>0</v>
      </c>
      <c r="BC799" s="1072">
        <f t="shared" si="902"/>
        <v>0</v>
      </c>
      <c r="BD799" s="1072">
        <f t="shared" si="902"/>
        <v>0</v>
      </c>
      <c r="BE799" s="1072">
        <f t="shared" si="902"/>
        <v>0</v>
      </c>
      <c r="BF799" s="1072">
        <f t="shared" si="902"/>
        <v>0</v>
      </c>
      <c r="BG799" s="1072">
        <f t="shared" si="902"/>
        <v>0</v>
      </c>
      <c r="BH799" s="1024"/>
    </row>
    <row r="800" spans="1:60" s="109" customFormat="1" x14ac:dyDescent="0.25">
      <c r="A800" s="1024" t="s">
        <v>302</v>
      </c>
      <c r="B800" s="685"/>
      <c r="C800" s="1072">
        <f>IF(ISBLANK(INDEX(MO_IS_FirstRow,0,COLUMN())),0,IF(OR(C664=B664,C664=D664),"CHECK",0))</f>
        <v>0</v>
      </c>
      <c r="D800" s="1072">
        <f>IF(ISBLANK(INDEX(MO_IS_FirstRow,0,COLUMN())),0,IF(OR(D664=C664,D664=E664),"CHECK",0))</f>
        <v>0</v>
      </c>
      <c r="E800" s="1072">
        <f>IF(ISBLANK(INDEX(MO_IS_FirstRow,0,COLUMN())),0,IF(OR(E664=D664,E664=F664),"CHECK",0))</f>
        <v>0</v>
      </c>
      <c r="F800" s="1072">
        <f>IF(ISBLANK(INDEX(MO_IS_FirstRow,0,COLUMN())),0,IF(OR(F664=E664,F664=K664),"CHECK",0))</f>
        <v>0</v>
      </c>
      <c r="G800" s="1072">
        <f>IF(ISBLANK(INDEX(MO_IS_FirstRow,0,COLUMN())),0,IF(OR(G664=B664,G664=H664,G664=E664),"CHECK",0))</f>
        <v>0</v>
      </c>
      <c r="H800" s="1072">
        <f>IF(ISBLANK(INDEX(MO_IS_FirstRow,0,COLUMN())),0,IF(OR(H664=C664,H664=I664,H664=G664),"CHECK",0))</f>
        <v>0</v>
      </c>
      <c r="I800" s="1072">
        <f>IF(ISBLANK(INDEX(MO_IS_FirstRow,0,COLUMN())),0,IF(OR(I664=D664,I664=J664,I664=H664),"CHECK",0))</f>
        <v>0</v>
      </c>
      <c r="J800" s="1072">
        <f>IF(ISBLANK(INDEX(MO_IS_FirstRow,0,COLUMN())),0,IF(OR(J664=E664,J664=K664,J664=I664),"CHECK",0))</f>
        <v>0</v>
      </c>
      <c r="K800" s="1072">
        <f>IF(ISBLANK(INDEX(MO_IS_FirstRow,0,COLUMN())),0,IF(K664=F664,"CHECK",0))</f>
        <v>0</v>
      </c>
      <c r="L800" s="1072">
        <f>IF(ISBLANK(INDEX(MO_IS_FirstRow,0,COLUMN())),0,IF(OR(L664=G664,L664=M664,L664=J664),"CHECK",0))</f>
        <v>0</v>
      </c>
      <c r="M800" s="1072">
        <f>IF(ISBLANK(INDEX(MO_IS_FirstRow,0,COLUMN())),0,IF(OR(M664=H664,M664=N664,M664=L664),"CHECK",0))</f>
        <v>0</v>
      </c>
      <c r="N800" s="1072">
        <f>IF(ISBLANK(INDEX(MO_IS_FirstRow,0,COLUMN())),0,IF(OR(N664=I664,N664=O664,N664=M664),"CHECK",0))</f>
        <v>0</v>
      </c>
      <c r="O800" s="1072">
        <f>IF(ISBLANK(INDEX(MO_IS_FirstRow,0,COLUMN())),0,IF(OR(O664=J664,O664=P664,O664=N664),"CHECK",0))</f>
        <v>0</v>
      </c>
      <c r="P800" s="1072">
        <f>IF(ISBLANK(INDEX(MO_IS_FirstRow,0,COLUMN())),0,IF(P664=K664,"CHECK",0))</f>
        <v>0</v>
      </c>
      <c r="Q800" s="1072">
        <f>IF(ISBLANK(INDEX(MO_IS_FirstRow,0,COLUMN())),0,IF(OR(Q664=L664,Q664=R664,Q664=O664),"CHECK",0))</f>
        <v>0</v>
      </c>
      <c r="R800" s="1072">
        <f>IF(ISBLANK(INDEX(MO_IS_FirstRow,0,COLUMN())),0,IF(OR(R664=M664,R664=S664,R664=Q664),"CHECK",0))</f>
        <v>0</v>
      </c>
      <c r="S800" s="1072">
        <f>IF(ISBLANK(INDEX(MO_IS_FirstRow,0,COLUMN())),0,IF(OR(S664=N664,S664=T664,S664=R664),"CHECK",0))</f>
        <v>0</v>
      </c>
      <c r="T800" s="1072">
        <f>IF(ISBLANK(INDEX(MO_IS_FirstRow,0,COLUMN())),0,IF(OR(T664=O664,T664=U664,T664=S664),"CHECK",0))</f>
        <v>0</v>
      </c>
      <c r="U800" s="1072">
        <f>IF(ISBLANK(INDEX(MO_IS_FirstRow,0,COLUMN())),0,IF(U664=P664,"CHECK",0))</f>
        <v>0</v>
      </c>
      <c r="V800" s="1072">
        <f>IF(ISBLANK(INDEX(MO_IS_FirstRow,0,COLUMN())),0,IF(OR(V664=Q664,V664=W664,V664=T664),"CHECK",0))</f>
        <v>0</v>
      </c>
      <c r="W800" s="1072">
        <f>IF(ISBLANK(INDEX(MO_IS_FirstRow,0,COLUMN())),0,IF(OR(W664=R664,W664=X664,W664=V664),"CHECK",0))</f>
        <v>0</v>
      </c>
      <c r="X800" s="1072">
        <f>IF(ISBLANK(INDEX(MO_IS_FirstRow,0,COLUMN())),0,IF(OR(X664=S664,X664=Y664,X664=W664),"CHECK",0))</f>
        <v>0</v>
      </c>
      <c r="Y800" s="1072">
        <f>IF(ISBLANK(INDEX(MO_IS_FirstRow,0,COLUMN())),0,IF(OR(Y664=T664,Y664=Z664,Y664=X664),"CHECK",0))</f>
        <v>0</v>
      </c>
      <c r="Z800" s="1072">
        <f>IF(ISBLANK(INDEX(MO_IS_FirstRow,0,COLUMN())),0,IF(Z664=U664,"CHECK",0))</f>
        <v>0</v>
      </c>
      <c r="AA800" s="1072">
        <f>IF(ISBLANK(INDEX(MO_IS_FirstRow,0,COLUMN())),0,IF(OR(AA664=V664,AA664=AB664,AA664=Y664),"CHECK",0))</f>
        <v>0</v>
      </c>
      <c r="AB800" s="1072">
        <f>IF(ISBLANK(INDEX(MO_IS_FirstRow,0,COLUMN())),0,IF(OR(AB664=W664,AB664=AC664,AB664=AA664),"CHECK",0))</f>
        <v>0</v>
      </c>
      <c r="AC800" s="1072">
        <f>IF(ISBLANK(INDEX(MO_IS_FirstRow,0,COLUMN())),0,IF(OR(AC664=X664,AC664=AD664,AC664=AB664),"CHECK",0))</f>
        <v>0</v>
      </c>
      <c r="AD800" s="1072">
        <f>IF(ISBLANK(INDEX(MO_IS_FirstRow,0,COLUMN())),0,IF(OR(AD664=Y664,AD664=AE664,AD664=AC664),"CHECK",0))</f>
        <v>0</v>
      </c>
      <c r="AE800" s="1072">
        <f>IF(ISBLANK(INDEX(MO_IS_FirstRow,0,COLUMN())),0,IF(AE664=Z664,"CHECK",0))</f>
        <v>0</v>
      </c>
      <c r="AF800" s="1072">
        <f>IF(ISBLANK(INDEX(MO_IS_FirstRow,0,COLUMN())),0,IF(OR(AF664=AA664,AF664=AG664,AF664=AD664),"CHECK",0))</f>
        <v>0</v>
      </c>
      <c r="AG800" s="1072">
        <f>IF(ISBLANK(INDEX(MO_IS_FirstRow,0,COLUMN())),0,IF(OR(AG664=AB664,AG664=AH664,AG664=AF664),"CHECK",0))</f>
        <v>0</v>
      </c>
      <c r="AH800" s="1072">
        <f>IF(ISBLANK(INDEX(MO_IS_FirstRow,0,COLUMN())),0,IF(OR(AH664=AC664,AH664=AI664,AH664=AG664),"CHECK",0))</f>
        <v>0</v>
      </c>
      <c r="AI800" s="1072">
        <f>IF(ISBLANK(INDEX(MO_IS_FirstRow,0,COLUMN())),0,IF(OR(AI664=AD664,AI664=AJ664,AI664=AH664),"CHECK",0))</f>
        <v>0</v>
      </c>
      <c r="AJ800" s="1072">
        <f>IF(ISBLANK(INDEX(MO_IS_FirstRow,0,COLUMN())),0,IF(AJ664=AE664,"CHECK",0))</f>
        <v>0</v>
      </c>
      <c r="AK800" s="1072">
        <f>IF(ISBLANK(INDEX(MO_IS_FirstRow,0,COLUMN())),0,IF(OR(AK664=AF664,AK664=AL664,AK664=AI664),"CHECK",0))</f>
        <v>0</v>
      </c>
      <c r="AL800" s="1072">
        <f>IF(ISBLANK(INDEX(MO_IS_FirstRow,0,COLUMN())),0,IF(OR(AL664=AG664,AL664=AM664,AL664=AK664),"CHECK",0))</f>
        <v>0</v>
      </c>
      <c r="AM800" s="1072">
        <f>IF(ISBLANK(INDEX(MO_IS_FirstRow,0,COLUMN())),0,IF(OR(AM664=AH664,AM664=AN664,AM664=AL664),"CHECK",0))</f>
        <v>0</v>
      </c>
      <c r="AN800" s="1072">
        <f>IF(ISBLANK(INDEX(MO_IS_FirstRow,0,COLUMN())),0,IF(OR(AN664=AI664,AN664=AO664,AN664=AM664),"CHECK",0))</f>
        <v>0</v>
      </c>
      <c r="AO800" s="1072">
        <f>IF(ISBLANK(INDEX(MO_IS_FirstRow,0,COLUMN())),0,IF(AO664=AJ664,"CHECK",0))</f>
        <v>0</v>
      </c>
      <c r="AP800" s="1072">
        <f>IF(ISBLANK(INDEX(MO_IS_FirstRow,0,COLUMN())),0,IF(OR(AP664=AK664,AP664=AQ664,AP664=AN664),"CHECK",0))</f>
        <v>0</v>
      </c>
      <c r="AQ800" s="1072">
        <f>IF(ISBLANK(INDEX(MO_IS_FirstRow,0,COLUMN())),0,IF(OR(AQ664=AL664,AQ664=AR664,AQ664=AP664),"CHECK",0))</f>
        <v>0</v>
      </c>
      <c r="AR800" s="1072">
        <f>IF(ISBLANK(INDEX(MO_IS_FirstRow,0,COLUMN())),0,IF(OR(AR664=AM664,AR664=AS664,AR664=AQ664),"CHECK",0))</f>
        <v>0</v>
      </c>
      <c r="AS800" s="1072">
        <f>IF(ISBLANK(INDEX(MO_IS_FirstRow,0,COLUMN())),0,IF(OR(AS664=AN664,AS664=AT664,AS664=AR664),"CHECK",0))</f>
        <v>0</v>
      </c>
      <c r="AT800" s="1072">
        <f>IF(ISBLANK(INDEX(MO_IS_FirstRow,0,COLUMN())),0,IF(AT664=AO664,"CHECK",0))</f>
        <v>0</v>
      </c>
      <c r="AU800" s="1072">
        <f>IF(ISBLANK(INDEX(MO_IS_FirstRow,0,COLUMN())),0,IF(OR(AU664=AP664,AU664=AV664,AU664=AS664),"CHECK",0))</f>
        <v>0</v>
      </c>
      <c r="AV800" s="1072">
        <f>IF(ISBLANK(INDEX(MO_IS_FirstRow,0,COLUMN())),0,IF(OR(AV664=AQ664,AV664=AW664,AV664=AU664),"CHECK",0))</f>
        <v>0</v>
      </c>
      <c r="AW800" s="1073">
        <f ca="1">IF(ISBLANK(INDEX(MO_IS_FirstRow,0,COLUMN())),0,IF(OR(AW664=AR664,AW664=AX664,AW664=AV664),"CHECK",0))</f>
        <v>0</v>
      </c>
      <c r="AX800" s="1072"/>
      <c r="AY800" s="1072"/>
      <c r="AZ800" s="1072"/>
      <c r="BA800" s="1072"/>
      <c r="BB800" s="1072"/>
      <c r="BC800" s="1072"/>
      <c r="BD800" s="1072"/>
      <c r="BE800" s="1072"/>
      <c r="BF800" s="1072"/>
      <c r="BG800" s="1072"/>
      <c r="BH800" s="1024"/>
    </row>
    <row r="801" spans="1:60" s="109" customFormat="1" x14ac:dyDescent="0.25">
      <c r="A801" s="1024" t="s">
        <v>303</v>
      </c>
      <c r="B801" s="685"/>
      <c r="C801" s="1072">
        <f>IF(ISBLANK(INDEX(MO_IS_FirstRow,0,COLUMN())),0,IF(OR(C408=B408,C408=D408),"CHECK",0))</f>
        <v>0</v>
      </c>
      <c r="D801" s="1072">
        <f>IF(ISBLANK(INDEX(MO_IS_FirstRow,0,COLUMN())),0,IF(OR(D408=C408,D408=E408),"CHECK",0))</f>
        <v>0</v>
      </c>
      <c r="E801" s="1072">
        <f>IF(ISBLANK(INDEX(MO_IS_FirstRow,0,COLUMN())),0,IF(OR(E408=D408,E408=F408),"CHECK",0))</f>
        <v>0</v>
      </c>
      <c r="F801" s="1072">
        <f>IF(ISBLANK(INDEX(MO_IS_FirstRow,0,COLUMN())),0,IF(OR(F408=E408,F408=K408),"CHECK",0))</f>
        <v>0</v>
      </c>
      <c r="G801" s="1072">
        <f>IF(ISBLANK(INDEX(MO_IS_FirstRow,0,COLUMN())),0,IF(OR(G408=B408,G408=H408,G408=E408),"CHECK",0))</f>
        <v>0</v>
      </c>
      <c r="H801" s="1072">
        <f>IF(ISBLANK(INDEX(MO_IS_FirstRow,0,COLUMN())),0,IF(OR(H408=C408,H408=I408,H408=G408),"CHECK",0))</f>
        <v>0</v>
      </c>
      <c r="I801" s="1072">
        <f>IF(ISBLANK(INDEX(MO_IS_FirstRow,0,COLUMN())),0,IF(OR(I408=D408,I408=J408,I408=H408),"CHECK",0))</f>
        <v>0</v>
      </c>
      <c r="J801" s="1072">
        <f>IF(ISBLANK(INDEX(MO_IS_FirstRow,0,COLUMN())),0,IF(OR(J408=E408,J408=K408,J408=I408),"CHECK",0))</f>
        <v>0</v>
      </c>
      <c r="K801" s="1072">
        <f>IF(ISBLANK(INDEX(MO_IS_FirstRow,0,COLUMN())),0,IF(K408=F408,"CHECK",0))</f>
        <v>0</v>
      </c>
      <c r="L801" s="1072">
        <f>IF(ISBLANK(INDEX(MO_IS_FirstRow,0,COLUMN())),0,IF(OR(L408=G408,L408=M408,L408=J408),"CHECK",0))</f>
        <v>0</v>
      </c>
      <c r="M801" s="1072">
        <f>IF(ISBLANK(INDEX(MO_IS_FirstRow,0,COLUMN())),0,IF(OR(M408=H408,M408=N408,M408=L408),"CHECK",0))</f>
        <v>0</v>
      </c>
      <c r="N801" s="1072">
        <f>IF(ISBLANK(INDEX(MO_IS_FirstRow,0,COLUMN())),0,IF(OR(N408=I408,N408=O408,N408=M408),"CHECK",0))</f>
        <v>0</v>
      </c>
      <c r="O801" s="1072">
        <f>IF(ISBLANK(INDEX(MO_IS_FirstRow,0,COLUMN())),0,IF(OR(O408=J408,O408=P408,O408=N408),"CHECK",0))</f>
        <v>0</v>
      </c>
      <c r="P801" s="1072">
        <f>IF(ISBLANK(INDEX(MO_IS_FirstRow,0,COLUMN())),0,IF(P408=K408,"CHECK",0))</f>
        <v>0</v>
      </c>
      <c r="Q801" s="1072">
        <f>IF(ISBLANK(INDEX(MO_IS_FirstRow,0,COLUMN())),0,IF(OR(Q408=L408,Q408=R408,Q408=O408),"CHECK",0))</f>
        <v>0</v>
      </c>
      <c r="R801" s="1072">
        <f>IF(ISBLANK(INDEX(MO_IS_FirstRow,0,COLUMN())),0,IF(OR(R408=M408,R408=S408,R408=Q408),"CHECK",0))</f>
        <v>0</v>
      </c>
      <c r="S801" s="1072">
        <f>IF(ISBLANK(INDEX(MO_IS_FirstRow,0,COLUMN())),0,IF(OR(S408=N408,S408=T408,S408=R408),"CHECK",0))</f>
        <v>0</v>
      </c>
      <c r="T801" s="1072">
        <f>IF(ISBLANK(INDEX(MO_IS_FirstRow,0,COLUMN())),0,IF(OR(T408=O408,T408=U408,T408=S408),"CHECK",0))</f>
        <v>0</v>
      </c>
      <c r="U801" s="1072">
        <f>IF(ISBLANK(INDEX(MO_IS_FirstRow,0,COLUMN())),0,IF(U408=P408,"CHECK",0))</f>
        <v>0</v>
      </c>
      <c r="V801" s="1072">
        <f>IF(ISBLANK(INDEX(MO_IS_FirstRow,0,COLUMN())),0,IF(OR(V408=Q408,V408=W408,V408=T408),"CHECK",0))</f>
        <v>0</v>
      </c>
      <c r="W801" s="1072">
        <f>IF(ISBLANK(INDEX(MO_IS_FirstRow,0,COLUMN())),0,IF(OR(W408=R408,W408=X408,W408=V408),"CHECK",0))</f>
        <v>0</v>
      </c>
      <c r="X801" s="1072">
        <f>IF(ISBLANK(INDEX(MO_IS_FirstRow,0,COLUMN())),0,IF(OR(X408=S408,X408=Y408,X408=W408),"CHECK",0))</f>
        <v>0</v>
      </c>
      <c r="Y801" s="1072">
        <f>IF(ISBLANK(INDEX(MO_IS_FirstRow,0,COLUMN())),0,IF(OR(Y408=T408,Y408=Z408,Y408=X408),"CHECK",0))</f>
        <v>0</v>
      </c>
      <c r="Z801" s="1072">
        <f>IF(ISBLANK(INDEX(MO_IS_FirstRow,0,COLUMN())),0,IF(Z408=U408,"CHECK",0))</f>
        <v>0</v>
      </c>
      <c r="AA801" s="1072">
        <f>IF(ISBLANK(INDEX(MO_IS_FirstRow,0,COLUMN())),0,IF(OR(AA408=V408,AA408=AB408,AA408=Y408),"CHECK",0))</f>
        <v>0</v>
      </c>
      <c r="AB801" s="1072">
        <f>IF(ISBLANK(INDEX(MO_IS_FirstRow,0,COLUMN())),0,IF(OR(AB408=W408,AB408=AC408,AB408=AA408),"CHECK",0))</f>
        <v>0</v>
      </c>
      <c r="AC801" s="1072">
        <f>IF(ISBLANK(INDEX(MO_IS_FirstRow,0,COLUMN())),0,IF(OR(AC408=X408,AC408=AD408,AC408=AB408),"CHECK",0))</f>
        <v>0</v>
      </c>
      <c r="AD801" s="1072">
        <f>IF(ISBLANK(INDEX(MO_IS_FirstRow,0,COLUMN())),0,IF(OR(AD408=Y408,AD408=AE408,AD408=AC408),"CHECK",0))</f>
        <v>0</v>
      </c>
      <c r="AE801" s="1072">
        <f>IF(ISBLANK(INDEX(MO_IS_FirstRow,0,COLUMN())),0,IF(AE408=Z408,"CHECK",0))</f>
        <v>0</v>
      </c>
      <c r="AF801" s="1072">
        <f>IF(ISBLANK(INDEX(MO_IS_FirstRow,0,COLUMN())),0,IF(OR(AF408=AA408,AF408=AG408,AF408=AD408),"CHECK",0))</f>
        <v>0</v>
      </c>
      <c r="AG801" s="1072">
        <f>IF(ISBLANK(INDEX(MO_IS_FirstRow,0,COLUMN())),0,IF(OR(AG408=AB408,AG408=AH408,AG408=AF408),"CHECK",0))</f>
        <v>0</v>
      </c>
      <c r="AH801" s="1072">
        <f>IF(ISBLANK(INDEX(MO_IS_FirstRow,0,COLUMN())),0,IF(OR(AH408=AC408,AH408=AI408,AH408=AG408),"CHECK",0))</f>
        <v>0</v>
      </c>
      <c r="AI801" s="1072">
        <f>IF(ISBLANK(INDEX(MO_IS_FirstRow,0,COLUMN())),0,IF(OR(AI408=AD408,AI408=AJ408,AI408=AH408),"CHECK",0))</f>
        <v>0</v>
      </c>
      <c r="AJ801" s="1072">
        <f>IF(ISBLANK(INDEX(MO_IS_FirstRow,0,COLUMN())),0,IF(AJ408=AE408,"CHECK",0))</f>
        <v>0</v>
      </c>
      <c r="AK801" s="1072">
        <f>IF(ISBLANK(INDEX(MO_IS_FirstRow,0,COLUMN())),0,IF(OR(AK408=AF408,AK408=AL408,AK408=AI408),"CHECK",0))</f>
        <v>0</v>
      </c>
      <c r="AL801" s="1072">
        <f>IF(ISBLANK(INDEX(MO_IS_FirstRow,0,COLUMN())),0,IF(OR(AL408=AG408,AL408=AM408,AL408=AK408),"CHECK",0))</f>
        <v>0</v>
      </c>
      <c r="AM801" s="1072">
        <f>IF(ISBLANK(INDEX(MO_IS_FirstRow,0,COLUMN())),0,IF(OR(AM408=AH408,AM408=AN408,AM408=AL408),"CHECK",0))</f>
        <v>0</v>
      </c>
      <c r="AN801" s="1072">
        <f>IF(ISBLANK(INDEX(MO_IS_FirstRow,0,COLUMN())),0,IF(OR(AN408=AI408,AN408=AO408,AN408=AM408),"CHECK",0))</f>
        <v>0</v>
      </c>
      <c r="AO801" s="1072">
        <f>IF(ISBLANK(INDEX(MO_IS_FirstRow,0,COLUMN())),0,IF(AO408=AJ408,"CHECK",0))</f>
        <v>0</v>
      </c>
      <c r="AP801" s="1072">
        <f>IF(ISBLANK(INDEX(MO_IS_FirstRow,0,COLUMN())),0,IF(OR(AP408=AK408,AP408=AQ408,AP408=AN408),"CHECK",0))</f>
        <v>0</v>
      </c>
      <c r="AQ801" s="1072">
        <f>IF(ISBLANK(INDEX(MO_IS_FirstRow,0,COLUMN())),0,IF(OR(AQ408=AL408,AQ408=AR408,AQ408=AP408),"CHECK",0))</f>
        <v>0</v>
      </c>
      <c r="AR801" s="1072">
        <f>IF(ISBLANK(INDEX(MO_IS_FirstRow,0,COLUMN())),0,IF(OR(AR408=AM408,AR408=AS408,AR408=AQ408),"CHECK",0))</f>
        <v>0</v>
      </c>
      <c r="AS801" s="1072">
        <f>IF(ISBLANK(INDEX(MO_IS_FirstRow,0,COLUMN())),0,IF(OR(AS408=AN408,AS408=AT408,AS408=AR408),"CHECK",0))</f>
        <v>0</v>
      </c>
      <c r="AT801" s="1072">
        <f>IF(ISBLANK(INDEX(MO_IS_FirstRow,0,COLUMN())),0,IF(AT408=AO408,"CHECK",0))</f>
        <v>0</v>
      </c>
      <c r="AU801" s="1072">
        <f>IF(ISBLANK(INDEX(MO_IS_FirstRow,0,COLUMN())),0,IF(OR(AU408=AP408,AU408=AV408,AU408=AS408),"CHECK",0))</f>
        <v>0</v>
      </c>
      <c r="AV801" s="1072">
        <f>IF(ISBLANK(INDEX(MO_IS_FirstRow,0,COLUMN())),0,IF(OR(AV408=AQ408,AV408=AW408,AV408=AU408),"CHECK",0))</f>
        <v>0</v>
      </c>
      <c r="AW801" s="1073">
        <f>IF(ISBLANK(INDEX(MO_IS_FirstRow,0,COLUMN())),0,IF(OR(AW408=AR408,AW408=AX408,AW408=AV408),"CHECK",0))</f>
        <v>0</v>
      </c>
      <c r="AX801" s="1072"/>
      <c r="AY801" s="1072"/>
      <c r="AZ801" s="1072"/>
      <c r="BA801" s="1072"/>
      <c r="BB801" s="1072"/>
      <c r="BC801" s="1072"/>
      <c r="BD801" s="1072"/>
      <c r="BE801" s="1072"/>
      <c r="BF801" s="1072"/>
      <c r="BG801" s="1072"/>
      <c r="BH801" s="1024"/>
    </row>
    <row r="802" spans="1:60" s="109" customFormat="1" x14ac:dyDescent="0.25">
      <c r="A802" s="1024" t="s">
        <v>304</v>
      </c>
      <c r="B802" s="685"/>
      <c r="C802" s="1072">
        <f>IF(OR(C749=B749,C749=D749),"CHECK",0)</f>
        <v>0</v>
      </c>
      <c r="D802" s="1072">
        <f>IF(OR(D749=C749,D749=E749),"CHECK",0)</f>
        <v>0</v>
      </c>
      <c r="E802" s="1072">
        <f>IF(OR(E749=D749,E749=F749),"CHECK",0)</f>
        <v>0</v>
      </c>
      <c r="F802" s="1072">
        <f>IF(OR(F749=E749,F749=K749),"CHECK",0)</f>
        <v>0</v>
      </c>
      <c r="G802" s="1072">
        <f>IF(OR(G749=B749,G749=H749,G749=E749),"CHECK",0)</f>
        <v>0</v>
      </c>
      <c r="H802" s="1072">
        <f>IF(OR(H749=C749,H749=I749,H749=G749),"CHECK",0)</f>
        <v>0</v>
      </c>
      <c r="I802" s="1072">
        <f>IF(OR(I749=D749,I749=J749,I749=H749),"CHECK",0)</f>
        <v>0</v>
      </c>
      <c r="J802" s="1072">
        <f>IF(OR(J749=E749,J749=I749),"CHECK",0)</f>
        <v>0</v>
      </c>
      <c r="K802" s="1072">
        <f>IF(K749=F749,"CHECK",0)</f>
        <v>0</v>
      </c>
      <c r="L802" s="1072">
        <f>IF(OR(L749=G749,L749=M749,L749=J749),"CHECK",0)</f>
        <v>0</v>
      </c>
      <c r="M802" s="1072">
        <f>IF(OR(M749=H749,M749=N749,M749=L749),"CHECK",0)</f>
        <v>0</v>
      </c>
      <c r="N802" s="1072">
        <f>IF(OR(N749=I749,N749=O749,N749=M749),"CHECK",0)</f>
        <v>0</v>
      </c>
      <c r="O802" s="1072">
        <f>IF(OR(O749=J749,O749=N749),"CHECK",0)</f>
        <v>0</v>
      </c>
      <c r="P802" s="1072">
        <f>IF(P749=K749,"CHECK",0)</f>
        <v>0</v>
      </c>
      <c r="Q802" s="1072">
        <f>IF(OR(Q749=L749,Q749=R749,Q749=O749),"CHECK",0)</f>
        <v>0</v>
      </c>
      <c r="R802" s="1072">
        <f>IF(OR(R749=M749,R749=S749,R749=Q749),"CHECK",0)</f>
        <v>0</v>
      </c>
      <c r="S802" s="1072">
        <f>IF(OR(S749=N749,S749=T749,S749=R749),"CHECK",0)</f>
        <v>0</v>
      </c>
      <c r="T802" s="1072">
        <f>IF(OR(T749=O749,T749=S749),"CHECK",0)</f>
        <v>0</v>
      </c>
      <c r="U802" s="1072">
        <f>IF(U749=P749,"CHECK",0)</f>
        <v>0</v>
      </c>
      <c r="V802" s="1072">
        <f>IF(OR(V749=Q749,V749=W749,V749=T749),"CHECK",0)</f>
        <v>0</v>
      </c>
      <c r="W802" s="1072">
        <f>IF(OR(W749=R749,W749=X749,W749=V749),"CHECK",0)</f>
        <v>0</v>
      </c>
      <c r="X802" s="1072">
        <f>IF(OR(X749=S749,X749=Y749,X749=W749),"CHECK",0)</f>
        <v>0</v>
      </c>
      <c r="Y802" s="1072">
        <f>IF(OR(Y749=T749,Y749=X749),"CHECK",0)</f>
        <v>0</v>
      </c>
      <c r="Z802" s="1072">
        <f>IF(Z749=U749,"CHECK",0)</f>
        <v>0</v>
      </c>
      <c r="AA802" s="1072">
        <f>IF(OR(AA749=V749,AA749=AB749,AA749=Y749),"CHECK",0)</f>
        <v>0</v>
      </c>
      <c r="AB802" s="1072">
        <f>IF(OR(AB749=W749,AB749=AC749,AB749=AA749),"CHECK",0)</f>
        <v>0</v>
      </c>
      <c r="AC802" s="1072">
        <f>IF(OR(AC749=X749,AC749=AD749,AC749=AB749),"CHECK",0)</f>
        <v>0</v>
      </c>
      <c r="AD802" s="1072">
        <f>IF(OR(AD749=Y749,AD749=AC749),"CHECK",0)</f>
        <v>0</v>
      </c>
      <c r="AE802" s="1072">
        <f>IF(AE749=Z749,"CHECK",0)</f>
        <v>0</v>
      </c>
      <c r="AF802" s="1072">
        <f>IF(OR(AF749=AA749,AF749=AG749,AF749=AD749),"CHECK",0)</f>
        <v>0</v>
      </c>
      <c r="AG802" s="1072">
        <f>IF(OR(AG749=AB749,AG749=AH749,AG749=AF749),"CHECK",0)</f>
        <v>0</v>
      </c>
      <c r="AH802" s="1072">
        <f>IF(OR(AH749=AC749,AH749=AI749,AH749=AG749),"CHECK",0)</f>
        <v>0</v>
      </c>
      <c r="AI802" s="1072">
        <f>IF(OR(AI749=AD749,AI749=AH749),"CHECK",0)</f>
        <v>0</v>
      </c>
      <c r="AJ802" s="1072">
        <f>IF(AJ749=AE749,"CHECK",0)</f>
        <v>0</v>
      </c>
      <c r="AK802" s="1072">
        <f>IF(OR(AK749=AF749,AK749=AL749,AK749=AI749),"CHECK",0)</f>
        <v>0</v>
      </c>
      <c r="AL802" s="1072">
        <f>IF(OR(AL749=AG749,AL749=AM749,AL749=AK749),"CHECK",0)</f>
        <v>0</v>
      </c>
      <c r="AM802" s="1072">
        <f>IF(OR(AM749=AH749,AM749=AN749,AM749=AL749),"CHECK",0)</f>
        <v>0</v>
      </c>
      <c r="AN802" s="1072">
        <f>IF(OR(AN749=AI749,AN749=AM749),"CHECK",0)</f>
        <v>0</v>
      </c>
      <c r="AO802" s="1072">
        <f>IF(AO749=AJ749,"CHECK",0)</f>
        <v>0</v>
      </c>
      <c r="AP802" s="1072">
        <f>IF(OR(AP749=AK749,AP749=AQ749,AP749=AN749),"CHECK",0)</f>
        <v>0</v>
      </c>
      <c r="AQ802" s="1072">
        <f>IF(OR(AQ749=AL749,AQ749=AR749,AQ749=AP749),"CHECK",0)</f>
        <v>0</v>
      </c>
      <c r="AR802" s="1072">
        <f>IF(OR(AR749=AM749,AR749=AS749,AR749=AQ749),"CHECK",0)</f>
        <v>0</v>
      </c>
      <c r="AS802" s="1072">
        <f>IF(OR(AS749=AN749,AS749=AR749),"CHECK",0)</f>
        <v>0</v>
      </c>
      <c r="AT802" s="1072">
        <f>IF(AT749=AO749,"CHECK",0)</f>
        <v>0</v>
      </c>
      <c r="AU802" s="1072">
        <f>IF(OR(AU749=AP749,AU749=AV749,AU749=AS749),"CHECK",0)</f>
        <v>0</v>
      </c>
      <c r="AV802" s="1072">
        <f>IF(OR(AV749=AQ749,AV749=AW749,AV749=AU749),"CHECK",0)</f>
        <v>0</v>
      </c>
      <c r="AW802" s="1073">
        <f ca="1">IF(OR(AW749=AR749,AW749=AX749,AW749=AV749),"CHECK",0)</f>
        <v>0</v>
      </c>
      <c r="AX802" s="1072"/>
      <c r="AY802" s="1072"/>
      <c r="AZ802" s="1072"/>
      <c r="BA802" s="1072"/>
      <c r="BB802" s="1072"/>
      <c r="BC802" s="1072"/>
      <c r="BD802" s="1072"/>
      <c r="BE802" s="1072"/>
      <c r="BF802" s="1072"/>
      <c r="BG802" s="1072"/>
      <c r="BH802" s="1024"/>
    </row>
    <row r="803" spans="1:60" s="109" customFormat="1" x14ac:dyDescent="0.25">
      <c r="A803" s="1024" t="s">
        <v>305</v>
      </c>
      <c r="B803" s="685"/>
      <c r="C803" s="1072">
        <f t="shared" ref="C803:AH803" si="903">IF(ISBLANK(INDEX(MO_IS_FirstRow,0,COLUMN())),0,ROUND(C667-C577,6))</f>
        <v>0</v>
      </c>
      <c r="D803" s="1072">
        <f t="shared" si="903"/>
        <v>0</v>
      </c>
      <c r="E803" s="1072">
        <f t="shared" si="903"/>
        <v>0</v>
      </c>
      <c r="F803" s="1072">
        <f t="shared" si="903"/>
        <v>0</v>
      </c>
      <c r="G803" s="1072">
        <f t="shared" si="903"/>
        <v>0</v>
      </c>
      <c r="H803" s="1072">
        <f t="shared" si="903"/>
        <v>0</v>
      </c>
      <c r="I803" s="1072">
        <f t="shared" si="903"/>
        <v>0</v>
      </c>
      <c r="J803" s="1072">
        <f t="shared" si="903"/>
        <v>0</v>
      </c>
      <c r="K803" s="1072">
        <f t="shared" si="903"/>
        <v>0</v>
      </c>
      <c r="L803" s="1072">
        <f t="shared" si="903"/>
        <v>0</v>
      </c>
      <c r="M803" s="1072">
        <f t="shared" si="903"/>
        <v>0</v>
      </c>
      <c r="N803" s="1072">
        <f t="shared" si="903"/>
        <v>0</v>
      </c>
      <c r="O803" s="1072">
        <f t="shared" si="903"/>
        <v>0</v>
      </c>
      <c r="P803" s="1072">
        <f t="shared" si="903"/>
        <v>0</v>
      </c>
      <c r="Q803" s="1072">
        <f t="shared" si="903"/>
        <v>0</v>
      </c>
      <c r="R803" s="1072">
        <f t="shared" si="903"/>
        <v>0</v>
      </c>
      <c r="S803" s="1072">
        <f t="shared" si="903"/>
        <v>0</v>
      </c>
      <c r="T803" s="1072">
        <f t="shared" si="903"/>
        <v>0</v>
      </c>
      <c r="U803" s="1072">
        <f t="shared" si="903"/>
        <v>0</v>
      </c>
      <c r="V803" s="1072">
        <f t="shared" si="903"/>
        <v>0</v>
      </c>
      <c r="W803" s="1072">
        <f t="shared" si="903"/>
        <v>0</v>
      </c>
      <c r="X803" s="1072">
        <f t="shared" si="903"/>
        <v>0</v>
      </c>
      <c r="Y803" s="1072">
        <f t="shared" si="903"/>
        <v>0</v>
      </c>
      <c r="Z803" s="1072">
        <f t="shared" si="903"/>
        <v>0</v>
      </c>
      <c r="AA803" s="1072">
        <f t="shared" si="903"/>
        <v>0</v>
      </c>
      <c r="AB803" s="1072">
        <f t="shared" si="903"/>
        <v>0</v>
      </c>
      <c r="AC803" s="1072">
        <f t="shared" si="903"/>
        <v>0</v>
      </c>
      <c r="AD803" s="1072">
        <f t="shared" si="903"/>
        <v>0</v>
      </c>
      <c r="AE803" s="1072">
        <f t="shared" si="903"/>
        <v>0</v>
      </c>
      <c r="AF803" s="1072">
        <f t="shared" si="903"/>
        <v>0</v>
      </c>
      <c r="AG803" s="1072">
        <f t="shared" si="903"/>
        <v>0</v>
      </c>
      <c r="AH803" s="1072">
        <f t="shared" si="903"/>
        <v>0</v>
      </c>
      <c r="AI803" s="1072">
        <f t="shared" ref="AI803:BG803" si="904">IF(ISBLANK(INDEX(MO_IS_FirstRow,0,COLUMN())),0,ROUND(AI667-AI577,6))</f>
        <v>0</v>
      </c>
      <c r="AJ803" s="1072">
        <f t="shared" si="904"/>
        <v>0</v>
      </c>
      <c r="AK803" s="1072">
        <f t="shared" si="904"/>
        <v>0</v>
      </c>
      <c r="AL803" s="1072">
        <f t="shared" si="904"/>
        <v>0</v>
      </c>
      <c r="AM803" s="1072">
        <f t="shared" si="904"/>
        <v>0</v>
      </c>
      <c r="AN803" s="1072">
        <f t="shared" si="904"/>
        <v>0</v>
      </c>
      <c r="AO803" s="1072">
        <f t="shared" si="904"/>
        <v>0</v>
      </c>
      <c r="AP803" s="1072">
        <f t="shared" si="904"/>
        <v>0</v>
      </c>
      <c r="AQ803" s="1072">
        <f t="shared" si="904"/>
        <v>0</v>
      </c>
      <c r="AR803" s="1072">
        <f t="shared" si="904"/>
        <v>0</v>
      </c>
      <c r="AS803" s="1072">
        <f t="shared" si="904"/>
        <v>0</v>
      </c>
      <c r="AT803" s="1072">
        <f t="shared" si="904"/>
        <v>0</v>
      </c>
      <c r="AU803" s="1072">
        <f t="shared" si="904"/>
        <v>0</v>
      </c>
      <c r="AV803" s="1072">
        <f t="shared" si="904"/>
        <v>0</v>
      </c>
      <c r="AW803" s="1073">
        <f>IF(ISBLANK(INDEX(MO_IS_FirstRow,0,COLUMN())),0,ROUND(AW667-AW577,6))</f>
        <v>0</v>
      </c>
      <c r="AX803" s="1072">
        <f t="shared" si="904"/>
        <v>0</v>
      </c>
      <c r="AY803" s="1072">
        <f t="shared" si="904"/>
        <v>0</v>
      </c>
      <c r="AZ803" s="1072">
        <f t="shared" si="904"/>
        <v>0</v>
      </c>
      <c r="BA803" s="1072">
        <f t="shared" si="904"/>
        <v>0</v>
      </c>
      <c r="BB803" s="1072">
        <f t="shared" si="904"/>
        <v>0</v>
      </c>
      <c r="BC803" s="1072">
        <f t="shared" si="904"/>
        <v>0</v>
      </c>
      <c r="BD803" s="1072">
        <f t="shared" si="904"/>
        <v>0</v>
      </c>
      <c r="BE803" s="1072">
        <f t="shared" si="904"/>
        <v>0</v>
      </c>
      <c r="BF803" s="1072">
        <f t="shared" si="904"/>
        <v>0</v>
      </c>
      <c r="BG803" s="1072">
        <f t="shared" si="904"/>
        <v>0</v>
      </c>
      <c r="BH803" s="1024"/>
    </row>
    <row r="804" spans="1:60" s="109" customFormat="1" x14ac:dyDescent="0.25">
      <c r="A804" s="1024" t="s">
        <v>306</v>
      </c>
      <c r="B804" s="685"/>
      <c r="C804" s="1072">
        <f t="shared" ref="C804:AH804" si="905">ROUND(INDEX(MO_CFSum_Capex,0,COLUMN())-C619-C620-C621,6)</f>
        <v>0</v>
      </c>
      <c r="D804" s="1072">
        <f t="shared" si="905"/>
        <v>0</v>
      </c>
      <c r="E804" s="1072">
        <f t="shared" si="905"/>
        <v>0</v>
      </c>
      <c r="F804" s="1072">
        <f t="shared" si="905"/>
        <v>0</v>
      </c>
      <c r="G804" s="1072">
        <f t="shared" si="905"/>
        <v>0</v>
      </c>
      <c r="H804" s="1072">
        <f t="shared" si="905"/>
        <v>0</v>
      </c>
      <c r="I804" s="1072">
        <f t="shared" si="905"/>
        <v>0</v>
      </c>
      <c r="J804" s="1072">
        <f t="shared" si="905"/>
        <v>0</v>
      </c>
      <c r="K804" s="1072">
        <f t="shared" si="905"/>
        <v>0</v>
      </c>
      <c r="L804" s="1072">
        <f t="shared" si="905"/>
        <v>0</v>
      </c>
      <c r="M804" s="1072">
        <f t="shared" si="905"/>
        <v>0</v>
      </c>
      <c r="N804" s="1072">
        <f t="shared" si="905"/>
        <v>0</v>
      </c>
      <c r="O804" s="1072">
        <f t="shared" si="905"/>
        <v>0</v>
      </c>
      <c r="P804" s="1072">
        <f t="shared" si="905"/>
        <v>0</v>
      </c>
      <c r="Q804" s="1072">
        <f t="shared" si="905"/>
        <v>0</v>
      </c>
      <c r="R804" s="1072">
        <f t="shared" si="905"/>
        <v>0</v>
      </c>
      <c r="S804" s="1072">
        <f t="shared" si="905"/>
        <v>0</v>
      </c>
      <c r="T804" s="1072">
        <f t="shared" si="905"/>
        <v>0</v>
      </c>
      <c r="U804" s="1072">
        <f t="shared" si="905"/>
        <v>0</v>
      </c>
      <c r="V804" s="1072">
        <f t="shared" si="905"/>
        <v>0</v>
      </c>
      <c r="W804" s="1072">
        <f t="shared" si="905"/>
        <v>0</v>
      </c>
      <c r="X804" s="1072">
        <f t="shared" si="905"/>
        <v>0</v>
      </c>
      <c r="Y804" s="1072">
        <f t="shared" si="905"/>
        <v>0</v>
      </c>
      <c r="Z804" s="1072">
        <f t="shared" si="905"/>
        <v>0</v>
      </c>
      <c r="AA804" s="1072">
        <f t="shared" si="905"/>
        <v>0</v>
      </c>
      <c r="AB804" s="1072">
        <f t="shared" si="905"/>
        <v>0</v>
      </c>
      <c r="AC804" s="1072">
        <f t="shared" si="905"/>
        <v>0</v>
      </c>
      <c r="AD804" s="1072">
        <f t="shared" si="905"/>
        <v>0</v>
      </c>
      <c r="AE804" s="1072">
        <f t="shared" si="905"/>
        <v>0</v>
      </c>
      <c r="AF804" s="1072">
        <f t="shared" si="905"/>
        <v>0</v>
      </c>
      <c r="AG804" s="1072">
        <f t="shared" si="905"/>
        <v>0</v>
      </c>
      <c r="AH804" s="1072">
        <f t="shared" si="905"/>
        <v>0</v>
      </c>
      <c r="AI804" s="1072">
        <f t="shared" ref="AI804:BG804" si="906">ROUND(INDEX(MO_CFSum_Capex,0,COLUMN())-AI619-AI620-AI621,6)</f>
        <v>0</v>
      </c>
      <c r="AJ804" s="1072">
        <f t="shared" si="906"/>
        <v>0</v>
      </c>
      <c r="AK804" s="1072">
        <f t="shared" si="906"/>
        <v>0</v>
      </c>
      <c r="AL804" s="1072">
        <f t="shared" si="906"/>
        <v>0</v>
      </c>
      <c r="AM804" s="1072">
        <f t="shared" si="906"/>
        <v>0</v>
      </c>
      <c r="AN804" s="1072">
        <f t="shared" si="906"/>
        <v>0</v>
      </c>
      <c r="AO804" s="1072">
        <f t="shared" si="906"/>
        <v>0</v>
      </c>
      <c r="AP804" s="1072">
        <f t="shared" si="906"/>
        <v>0</v>
      </c>
      <c r="AQ804" s="1072">
        <f t="shared" si="906"/>
        <v>0</v>
      </c>
      <c r="AR804" s="1072">
        <f t="shared" si="906"/>
        <v>0</v>
      </c>
      <c r="AS804" s="1072">
        <f t="shared" si="906"/>
        <v>0</v>
      </c>
      <c r="AT804" s="1072">
        <f t="shared" si="906"/>
        <v>0</v>
      </c>
      <c r="AU804" s="1072">
        <f t="shared" si="906"/>
        <v>0</v>
      </c>
      <c r="AV804" s="1072">
        <f t="shared" si="906"/>
        <v>0</v>
      </c>
      <c r="AW804" s="1073">
        <f>ROUND(INDEX(MO_CFSum_Capex,0,COLUMN())-AW619-AW620-AW621,6)</f>
        <v>0</v>
      </c>
      <c r="AX804" s="1072">
        <f t="shared" si="906"/>
        <v>0</v>
      </c>
      <c r="AY804" s="1072">
        <f t="shared" si="906"/>
        <v>0</v>
      </c>
      <c r="AZ804" s="1072">
        <f t="shared" si="906"/>
        <v>0</v>
      </c>
      <c r="BA804" s="1072">
        <f t="shared" si="906"/>
        <v>0</v>
      </c>
      <c r="BB804" s="1072">
        <f t="shared" si="906"/>
        <v>0</v>
      </c>
      <c r="BC804" s="1072">
        <f t="shared" si="906"/>
        <v>0</v>
      </c>
      <c r="BD804" s="1072">
        <f t="shared" si="906"/>
        <v>0</v>
      </c>
      <c r="BE804" s="1072">
        <f t="shared" si="906"/>
        <v>0</v>
      </c>
      <c r="BF804" s="1072">
        <f t="shared" si="906"/>
        <v>0</v>
      </c>
      <c r="BG804" s="1072">
        <f t="shared" si="906"/>
        <v>0</v>
      </c>
      <c r="BH804" s="1024"/>
    </row>
    <row r="805" spans="1:60" s="109" customFormat="1" x14ac:dyDescent="0.25">
      <c r="A805" s="1024" t="s">
        <v>307</v>
      </c>
      <c r="B805" s="685"/>
      <c r="C805" s="1072">
        <f t="shared" ref="C805:AH805" si="907">IF(ISBLANK(INDEX(MO_IS_FirstRow,0,COLUMN())),0,IF(MOD(C320*1000000,1)=0,"Check",0))</f>
        <v>0</v>
      </c>
      <c r="D805" s="1072">
        <f t="shared" si="907"/>
        <v>0</v>
      </c>
      <c r="E805" s="1072">
        <f t="shared" si="907"/>
        <v>0</v>
      </c>
      <c r="F805" s="1072">
        <f t="shared" si="907"/>
        <v>0</v>
      </c>
      <c r="G805" s="1072">
        <f t="shared" si="907"/>
        <v>0</v>
      </c>
      <c r="H805" s="1072">
        <f t="shared" si="907"/>
        <v>0</v>
      </c>
      <c r="I805" s="1072">
        <f t="shared" si="907"/>
        <v>0</v>
      </c>
      <c r="J805" s="1072">
        <f t="shared" si="907"/>
        <v>0</v>
      </c>
      <c r="K805" s="1072">
        <f t="shared" si="907"/>
        <v>0</v>
      </c>
      <c r="L805" s="1072">
        <f t="shared" si="907"/>
        <v>0</v>
      </c>
      <c r="M805" s="1072">
        <f t="shared" si="907"/>
        <v>0</v>
      </c>
      <c r="N805" s="1072">
        <f t="shared" si="907"/>
        <v>0</v>
      </c>
      <c r="O805" s="1072">
        <f t="shared" si="907"/>
        <v>0</v>
      </c>
      <c r="P805" s="1072">
        <f t="shared" si="907"/>
        <v>0</v>
      </c>
      <c r="Q805" s="1072">
        <f t="shared" si="907"/>
        <v>0</v>
      </c>
      <c r="R805" s="1072">
        <f t="shared" si="907"/>
        <v>0</v>
      </c>
      <c r="S805" s="1072">
        <f t="shared" si="907"/>
        <v>0</v>
      </c>
      <c r="T805" s="1072">
        <f t="shared" si="907"/>
        <v>0</v>
      </c>
      <c r="U805" s="1072">
        <f t="shared" si="907"/>
        <v>0</v>
      </c>
      <c r="V805" s="1072">
        <f t="shared" si="907"/>
        <v>0</v>
      </c>
      <c r="W805" s="1072">
        <f t="shared" si="907"/>
        <v>0</v>
      </c>
      <c r="X805" s="1072">
        <f t="shared" si="907"/>
        <v>0</v>
      </c>
      <c r="Y805" s="1072">
        <f t="shared" si="907"/>
        <v>0</v>
      </c>
      <c r="Z805" s="1072">
        <f t="shared" si="907"/>
        <v>0</v>
      </c>
      <c r="AA805" s="1072">
        <f t="shared" si="907"/>
        <v>0</v>
      </c>
      <c r="AB805" s="1072">
        <f t="shared" si="907"/>
        <v>0</v>
      </c>
      <c r="AC805" s="1072">
        <f t="shared" si="907"/>
        <v>0</v>
      </c>
      <c r="AD805" s="1072">
        <f t="shared" si="907"/>
        <v>0</v>
      </c>
      <c r="AE805" s="1072">
        <f t="shared" si="907"/>
        <v>0</v>
      </c>
      <c r="AF805" s="1072">
        <f t="shared" si="907"/>
        <v>0</v>
      </c>
      <c r="AG805" s="1072">
        <f t="shared" si="907"/>
        <v>0</v>
      </c>
      <c r="AH805" s="1072">
        <f t="shared" si="907"/>
        <v>0</v>
      </c>
      <c r="AI805" s="1072">
        <f t="shared" ref="AI805:BG805" si="908">IF(ISBLANK(INDEX(MO_IS_FirstRow,0,COLUMN())),0,IF(MOD(AI320*1000000,1)=0,"Check",0))</f>
        <v>0</v>
      </c>
      <c r="AJ805" s="1072">
        <f t="shared" si="908"/>
        <v>0</v>
      </c>
      <c r="AK805" s="1072">
        <f t="shared" si="908"/>
        <v>0</v>
      </c>
      <c r="AL805" s="1072">
        <f t="shared" si="908"/>
        <v>0</v>
      </c>
      <c r="AM805" s="1072">
        <f t="shared" si="908"/>
        <v>0</v>
      </c>
      <c r="AN805" s="1072">
        <f t="shared" si="908"/>
        <v>0</v>
      </c>
      <c r="AO805" s="1072">
        <f t="shared" si="908"/>
        <v>0</v>
      </c>
      <c r="AP805" s="1072">
        <f t="shared" si="908"/>
        <v>0</v>
      </c>
      <c r="AQ805" s="1072">
        <f t="shared" si="908"/>
        <v>0</v>
      </c>
      <c r="AR805" s="1072">
        <f t="shared" si="908"/>
        <v>0</v>
      </c>
      <c r="AS805" s="1072">
        <f t="shared" si="908"/>
        <v>0</v>
      </c>
      <c r="AT805" s="1072">
        <f t="shared" si="908"/>
        <v>0</v>
      </c>
      <c r="AU805" s="1072">
        <f t="shared" si="908"/>
        <v>0</v>
      </c>
      <c r="AV805" s="1072">
        <f t="shared" si="908"/>
        <v>0</v>
      </c>
      <c r="AW805" s="1073">
        <f t="shared" si="908"/>
        <v>0</v>
      </c>
      <c r="AX805" s="1072">
        <f t="shared" si="908"/>
        <v>0</v>
      </c>
      <c r="AY805" s="1072">
        <f t="shared" si="908"/>
        <v>0</v>
      </c>
      <c r="AZ805" s="1072">
        <f t="shared" si="908"/>
        <v>0</v>
      </c>
      <c r="BA805" s="1072">
        <f t="shared" si="908"/>
        <v>0</v>
      </c>
      <c r="BB805" s="1072">
        <f t="shared" si="908"/>
        <v>0</v>
      </c>
      <c r="BC805" s="1072">
        <f t="shared" si="908"/>
        <v>0</v>
      </c>
      <c r="BD805" s="1072">
        <f t="shared" si="908"/>
        <v>0</v>
      </c>
      <c r="BE805" s="1072">
        <f t="shared" si="908"/>
        <v>0</v>
      </c>
      <c r="BF805" s="1072">
        <f t="shared" si="908"/>
        <v>0</v>
      </c>
      <c r="BG805" s="1072">
        <f t="shared" si="908"/>
        <v>0</v>
      </c>
      <c r="BH805" s="1024"/>
    </row>
    <row r="806" spans="1:60" s="109" customFormat="1" x14ac:dyDescent="0.25">
      <c r="A806" s="1024" t="s">
        <v>308</v>
      </c>
      <c r="B806" s="685"/>
      <c r="C806" s="1072"/>
      <c r="D806" s="1072"/>
      <c r="E806" s="1072"/>
      <c r="F806" s="1072"/>
      <c r="G806" s="1072"/>
      <c r="H806" s="1072"/>
      <c r="I806" s="1072"/>
      <c r="J806" s="1072"/>
      <c r="K806" s="1072">
        <f>IF(ISBLANK(INDEX(MO_IS_FirstRow,0,COLUMN())),0,+ROUND(K368-SUM(G368,H368,I368,J368),6))</f>
        <v>0</v>
      </c>
      <c r="L806" s="1072"/>
      <c r="M806" s="1072"/>
      <c r="N806" s="1072"/>
      <c r="O806" s="1072"/>
      <c r="P806" s="1072">
        <f>IF(ISBLANK(INDEX(MO_IS_FirstRow,0,COLUMN())),0,+ROUND(P368-SUM(L368,M368,N368,O368),6))</f>
        <v>-3.0000000000000001E-3</v>
      </c>
      <c r="Q806" s="1072"/>
      <c r="R806" s="1072"/>
      <c r="S806" s="1072"/>
      <c r="T806" s="1072"/>
      <c r="U806" s="1072">
        <f>IF(ISBLANK(INDEX(MO_IS_FirstRow,0,COLUMN())),0,+ROUND(U368-SUM(Q368,R368,S368,T368),6))</f>
        <v>0</v>
      </c>
      <c r="V806" s="1072"/>
      <c r="W806" s="1072"/>
      <c r="X806" s="1072"/>
      <c r="Y806" s="1072"/>
      <c r="Z806" s="1072">
        <f>IF(ISBLANK(INDEX(MO_IS_FirstRow,0,COLUMN())),0,+ROUND(Z368-SUM(V368,W368,X368,Y368),6))</f>
        <v>-193.72</v>
      </c>
      <c r="AA806" s="1072"/>
      <c r="AB806" s="1072"/>
      <c r="AC806" s="1072"/>
      <c r="AD806" s="1072"/>
      <c r="AE806" s="1072">
        <f>IF(ISBLANK(INDEX(MO_IS_FirstRow,0,COLUMN())),0,+ROUND(AE368-SUM(AA368,AB368,AC368,AD368),6))</f>
        <v>0</v>
      </c>
      <c r="AF806" s="1072"/>
      <c r="AG806" s="1072"/>
      <c r="AH806" s="1072"/>
      <c r="AI806" s="1072"/>
      <c r="AJ806" s="1072">
        <f>IF(ISBLANK(INDEX(MO_IS_FirstRow,0,COLUMN())),0,+ROUND(AJ368-SUM(AF368,AG368,AH368,AI368),6))</f>
        <v>0</v>
      </c>
      <c r="AK806" s="1072"/>
      <c r="AL806" s="1072"/>
      <c r="AM806" s="1072"/>
      <c r="AN806" s="1072"/>
      <c r="AO806" s="1072">
        <f>IF(ISBLANK(INDEX(MO_IS_FirstRow,0,COLUMN())),0,+ROUND(AO368-SUM(AK368,AL368,AM368,AN368),6))</f>
        <v>-0.24099999999999999</v>
      </c>
      <c r="AP806" s="1072"/>
      <c r="AQ806" s="1072"/>
      <c r="AR806" s="1072"/>
      <c r="AS806" s="1072"/>
      <c r="AT806" s="1072">
        <f>IF(ISBLANK(INDEX(MO_IS_FirstRow,0,COLUMN())),0,+ROUND(AT368-SUM(AP368,AQ368,AR368,AS368),6))</f>
        <v>0</v>
      </c>
      <c r="AU806" s="1072"/>
      <c r="AV806" s="1072"/>
      <c r="AW806" s="1073"/>
      <c r="AX806" s="1072"/>
      <c r="AY806" s="1072">
        <f>IF(ISBLANK(INDEX(MO_IS_FirstRow,0,COLUMN())),0,+ROUND(AY368-SUM(AU368,AV368,AW368,AX368),6))</f>
        <v>0</v>
      </c>
      <c r="AZ806" s="1072"/>
      <c r="BA806" s="1072"/>
      <c r="BB806" s="1072"/>
      <c r="BC806" s="1072"/>
      <c r="BD806" s="1072">
        <f>IF(ISBLANK(INDEX(MO_IS_FirstRow,0,COLUMN())),0,+ROUND(BD368-SUM(AZ368,BA368,BB368,BC368),6))</f>
        <v>0</v>
      </c>
      <c r="BE806" s="1072"/>
      <c r="BF806" s="1072"/>
      <c r="BG806" s="1072"/>
      <c r="BH806" s="1024"/>
    </row>
    <row r="807" spans="1:60" s="109" customFormat="1" x14ac:dyDescent="0.25">
      <c r="A807" s="1024" t="s">
        <v>309</v>
      </c>
      <c r="B807" s="685"/>
      <c r="C807" s="1072">
        <f t="shared" ref="C807:AH807" si="909">IF(OR(INDEX(MO_CFSum_Acquisition,1,COLUMN())&gt;0,INDEX(MO_CFSum_Divestiture,1,COLUMN())&lt;0,INDEX(MO_CFSum_Capex,1,COLUMN())&gt;0,INDEX(MO_CFSum_Dividend,1,COLUMN())&gt;0),"CHECK",0)</f>
        <v>0</v>
      </c>
      <c r="D807" s="1072">
        <f t="shared" si="909"/>
        <v>0</v>
      </c>
      <c r="E807" s="1072">
        <f t="shared" si="909"/>
        <v>0</v>
      </c>
      <c r="F807" s="1072">
        <f t="shared" si="909"/>
        <v>0</v>
      </c>
      <c r="G807" s="1072">
        <f t="shared" si="909"/>
        <v>0</v>
      </c>
      <c r="H807" s="1072">
        <f t="shared" si="909"/>
        <v>0</v>
      </c>
      <c r="I807" s="1072">
        <f t="shared" si="909"/>
        <v>0</v>
      </c>
      <c r="J807" s="1072">
        <f t="shared" si="909"/>
        <v>0</v>
      </c>
      <c r="K807" s="1072">
        <f t="shared" si="909"/>
        <v>0</v>
      </c>
      <c r="L807" s="1072">
        <f t="shared" si="909"/>
        <v>0</v>
      </c>
      <c r="M807" s="1072">
        <f t="shared" si="909"/>
        <v>0</v>
      </c>
      <c r="N807" s="1072">
        <f t="shared" si="909"/>
        <v>0</v>
      </c>
      <c r="O807" s="1072">
        <f t="shared" si="909"/>
        <v>0</v>
      </c>
      <c r="P807" s="1072">
        <f t="shared" si="909"/>
        <v>0</v>
      </c>
      <c r="Q807" s="1072">
        <f t="shared" si="909"/>
        <v>0</v>
      </c>
      <c r="R807" s="1072">
        <f t="shared" si="909"/>
        <v>0</v>
      </c>
      <c r="S807" s="1072">
        <f t="shared" si="909"/>
        <v>0</v>
      </c>
      <c r="T807" s="1072">
        <f t="shared" si="909"/>
        <v>0</v>
      </c>
      <c r="U807" s="1072">
        <f t="shared" si="909"/>
        <v>0</v>
      </c>
      <c r="V807" s="1072">
        <f t="shared" si="909"/>
        <v>0</v>
      </c>
      <c r="W807" s="1072">
        <f t="shared" si="909"/>
        <v>0</v>
      </c>
      <c r="X807" s="1072">
        <f t="shared" si="909"/>
        <v>0</v>
      </c>
      <c r="Y807" s="1072" t="str">
        <f t="shared" si="909"/>
        <v>CHECK</v>
      </c>
      <c r="Z807" s="1072" t="str">
        <f t="shared" si="909"/>
        <v>CHECK</v>
      </c>
      <c r="AA807" s="1072">
        <f t="shared" si="909"/>
        <v>0</v>
      </c>
      <c r="AB807" s="1072">
        <f t="shared" si="909"/>
        <v>0</v>
      </c>
      <c r="AC807" s="1072">
        <f t="shared" si="909"/>
        <v>0</v>
      </c>
      <c r="AD807" s="1072">
        <f t="shared" si="909"/>
        <v>0</v>
      </c>
      <c r="AE807" s="1072">
        <f t="shared" si="909"/>
        <v>0</v>
      </c>
      <c r="AF807" s="1072">
        <f t="shared" si="909"/>
        <v>0</v>
      </c>
      <c r="AG807" s="1072">
        <f t="shared" si="909"/>
        <v>0</v>
      </c>
      <c r="AH807" s="1072">
        <f t="shared" si="909"/>
        <v>0</v>
      </c>
      <c r="AI807" s="1072">
        <f t="shared" ref="AI807:AY807" si="910">IF(OR(INDEX(MO_CFSum_Acquisition,1,COLUMN())&gt;0,INDEX(MO_CFSum_Divestiture,1,COLUMN())&lt;0,INDEX(MO_CFSum_Capex,1,COLUMN())&gt;0,INDEX(MO_CFSum_Dividend,1,COLUMN())&gt;0),"CHECK",0)</f>
        <v>0</v>
      </c>
      <c r="AJ807" s="1072">
        <f t="shared" si="910"/>
        <v>0</v>
      </c>
      <c r="AK807" s="1072">
        <f t="shared" si="910"/>
        <v>0</v>
      </c>
      <c r="AL807" s="1072" t="str">
        <f t="shared" si="910"/>
        <v>CHECK</v>
      </c>
      <c r="AM807" s="1072">
        <f t="shared" si="910"/>
        <v>0</v>
      </c>
      <c r="AN807" s="1072">
        <f t="shared" si="910"/>
        <v>0</v>
      </c>
      <c r="AO807" s="1072">
        <f t="shared" si="910"/>
        <v>0</v>
      </c>
      <c r="AP807" s="1072">
        <f t="shared" si="910"/>
        <v>0</v>
      </c>
      <c r="AQ807" s="1072">
        <f t="shared" si="910"/>
        <v>0</v>
      </c>
      <c r="AR807" s="1072">
        <f>IF(OR(INDEX(MO_CFSum_Acquisition,1,COLUMN())&gt;0,INDEX(MO_CFSum_Divestiture,1,COLUMN())&lt;0,INDEX(MO_CFSum_Capex,1,COLUMN())&gt;0,INDEX(MO_CFSum_Dividend,1,COLUMN())&gt;0),"CHECK",0)</f>
        <v>0</v>
      </c>
      <c r="AS807" s="1072">
        <f>IF(OR(INDEX(MO_CFSum_Acquisition,1,COLUMN())&gt;0,INDEX(MO_CFSum_Divestiture,1,COLUMN())&lt;0,INDEX(MO_CFSum_Capex,1,COLUMN())&gt;0,INDEX(MO_CFSum_Dividend,1,COLUMN())&gt;0),"CHECK",0)</f>
        <v>0</v>
      </c>
      <c r="AT807" s="1072">
        <f>IF(OR(INDEX(MO_CFSum_Acquisition,1,COLUMN())&gt;0,INDEX(MO_CFSum_Divestiture,1,COLUMN())&lt;0,INDEX(MO_CFSum_Capex,1,COLUMN())&gt;0,INDEX(MO_CFSum_Dividend,1,COLUMN())&gt;0),"CHECK",0)</f>
        <v>0</v>
      </c>
      <c r="AU807" s="1072">
        <f t="shared" si="910"/>
        <v>0</v>
      </c>
      <c r="AV807" s="1072">
        <f>IF(OR(INDEX(MO_CFSum_Acquisition,1,COLUMN())&gt;0,INDEX(MO_CFSum_Divestiture,1,COLUMN())&lt;0,INDEX(MO_CFSum_Capex,1,COLUMN())&gt;0,INDEX(MO_CFSum_Dividend,1,COLUMN())&gt;0),"CHECK",0)</f>
        <v>0</v>
      </c>
      <c r="AW807" s="1073">
        <f>IF(OR(INDEX(MO_CFSum_Acquisition,1,COLUMN())&gt;0,INDEX(MO_CFSum_Divestiture,1,COLUMN())&lt;0,INDEX(MO_CFSum_Capex,1,COLUMN())&gt;0,INDEX(MO_CFSum_Dividend,1,COLUMN())&gt;0),"CHECK",0)</f>
        <v>0</v>
      </c>
      <c r="AX807" s="1072">
        <f t="shared" ca="1" si="910"/>
        <v>0</v>
      </c>
      <c r="AY807" s="1072">
        <f t="shared" ca="1" si="910"/>
        <v>0</v>
      </c>
      <c r="AZ807" s="1072">
        <f t="shared" ref="AZ807:BG807" ca="1" si="911">IF(OR(INDEX(MO_CFSum_Acquisition,1,COLUMN())&gt;0,INDEX(MO_CFSum_Divestiture,1,COLUMN())&lt;0,INDEX(MO_CFSum_Capex,1,COLUMN())&gt;0,INDEX(MO_CFSum_Dividend,1,COLUMN())&gt;0),"CHECK",0)</f>
        <v>0</v>
      </c>
      <c r="BA807" s="1072">
        <f t="shared" ca="1" si="911"/>
        <v>0</v>
      </c>
      <c r="BB807" s="1072">
        <f t="shared" ca="1" si="911"/>
        <v>0</v>
      </c>
      <c r="BC807" s="1072">
        <f t="shared" ca="1" si="911"/>
        <v>0</v>
      </c>
      <c r="BD807" s="1072">
        <f t="shared" ca="1" si="911"/>
        <v>0</v>
      </c>
      <c r="BE807" s="1072">
        <f t="shared" ca="1" si="911"/>
        <v>0</v>
      </c>
      <c r="BF807" s="1072">
        <f t="shared" ca="1" si="911"/>
        <v>0</v>
      </c>
      <c r="BG807" s="1072">
        <f t="shared" ca="1" si="911"/>
        <v>0</v>
      </c>
      <c r="BH807" s="1024"/>
    </row>
    <row r="808" spans="1:60" s="109" customFormat="1" x14ac:dyDescent="0.25">
      <c r="A808" s="1024" t="s">
        <v>310</v>
      </c>
      <c r="B808" s="685"/>
      <c r="C808" s="1072"/>
      <c r="D808" s="1072"/>
      <c r="E808" s="1072"/>
      <c r="F808" s="1072"/>
      <c r="G808" s="1072"/>
      <c r="H808" s="1072"/>
      <c r="I808" s="1072"/>
      <c r="J808" s="1072"/>
      <c r="K808" s="1072">
        <f>ROUND(K408-SUM(G408,H408,I408,J408),6)</f>
        <v>0</v>
      </c>
      <c r="L808" s="1072"/>
      <c r="M808" s="1072"/>
      <c r="N808" s="1072"/>
      <c r="O808" s="1072"/>
      <c r="P808" s="1072">
        <f>ROUND(P408-SUM(L408,M408,N408,O408),2)</f>
        <v>0</v>
      </c>
      <c r="Q808" s="1072"/>
      <c r="R808" s="1072"/>
      <c r="S808" s="1072"/>
      <c r="T808" s="1072"/>
      <c r="U808" s="1072">
        <f>ROUND(U408-SUM(Q408,R408,S408,T408),6)</f>
        <v>0</v>
      </c>
      <c r="V808" s="1072"/>
      <c r="W808" s="1072"/>
      <c r="X808" s="1072"/>
      <c r="Y808" s="1072"/>
      <c r="Z808" s="1072">
        <f>ROUND(Z408-SUM(V408,W408,X408,Y408),6)</f>
        <v>0</v>
      </c>
      <c r="AA808" s="1072"/>
      <c r="AB808" s="1072"/>
      <c r="AC808" s="1072"/>
      <c r="AD808" s="1072"/>
      <c r="AE808" s="1072">
        <f>ROUND(AE408-SUM(AA408,AB408,AC408,AD408),6)</f>
        <v>0</v>
      </c>
      <c r="AF808" s="1072"/>
      <c r="AG808" s="1072"/>
      <c r="AH808" s="1072"/>
      <c r="AI808" s="1072"/>
      <c r="AJ808" s="1072">
        <f>ROUND(AJ408-SUM(AF408,AG408,AH408,AI408),6)</f>
        <v>0</v>
      </c>
      <c r="AK808" s="1072"/>
      <c r="AL808" s="1072"/>
      <c r="AM808" s="1072"/>
      <c r="AN808" s="1072"/>
      <c r="AO808" s="1072">
        <f>ROUND(AO408-SUM(AK408,AL408,AM408,AN408),6)</f>
        <v>0</v>
      </c>
      <c r="AP808" s="1072"/>
      <c r="AQ808" s="1072"/>
      <c r="AR808" s="1072"/>
      <c r="AS808" s="1072"/>
      <c r="AT808" s="1072">
        <f>ROUND(AT408-SUM(AP408,AQ408,AR408,AS408),6)</f>
        <v>0</v>
      </c>
      <c r="AU808" s="1072"/>
      <c r="AV808" s="1072"/>
      <c r="AW808" s="1073"/>
      <c r="AX808" s="1072"/>
      <c r="AY808" s="1072">
        <f>ROUND(AY408-SUM(AU408,AV408,AW408,AX408),6)</f>
        <v>0</v>
      </c>
      <c r="AZ808" s="1072"/>
      <c r="BA808" s="1072"/>
      <c r="BB808" s="1072"/>
      <c r="BC808" s="1072"/>
      <c r="BD808" s="1072">
        <f ca="1">ROUND(BD408-SUM(AZ408,BA408,BB408,BC408),6)</f>
        <v>0</v>
      </c>
      <c r="BE808" s="1072"/>
      <c r="BF808" s="1072"/>
      <c r="BG808" s="1072"/>
      <c r="BH808" s="1024"/>
    </row>
    <row r="809" spans="1:60" s="109" customFormat="1" x14ac:dyDescent="0.25">
      <c r="A809" s="1024" t="s">
        <v>311</v>
      </c>
      <c r="B809" s="685"/>
      <c r="C809" s="1072"/>
      <c r="D809" s="1072"/>
      <c r="E809" s="1072"/>
      <c r="F809" s="1072"/>
      <c r="G809" s="1072"/>
      <c r="H809" s="1072"/>
      <c r="I809" s="1072"/>
      <c r="J809" s="1072"/>
      <c r="K809" s="1072">
        <f>ROUND(SUM(G417,H417,I417,J417)-INDEX(MO_RIS_NI_NONGAAP_Diluted,1,COLUMN()),6)</f>
        <v>0</v>
      </c>
      <c r="L809" s="1072"/>
      <c r="M809" s="1072"/>
      <c r="N809" s="1072"/>
      <c r="O809" s="1072"/>
      <c r="P809" s="1072">
        <f>ROUND(SUM(L417,M417,N417,O417)-INDEX(MO_RIS_NI_NONGAAP_Diluted,1,COLUMN()),2)</f>
        <v>0</v>
      </c>
      <c r="Q809" s="1072"/>
      <c r="R809" s="1072"/>
      <c r="S809" s="1072"/>
      <c r="T809" s="1072"/>
      <c r="U809" s="1072">
        <f>ROUND(SUM(Q417,R417,S417,T417)-INDEX(MO_RIS_NI_NONGAAP_Diluted,1,COLUMN()),6)</f>
        <v>0</v>
      </c>
      <c r="V809" s="1072"/>
      <c r="W809" s="1072"/>
      <c r="X809" s="1072"/>
      <c r="Y809" s="1072"/>
      <c r="Z809" s="1072">
        <f>ROUND(SUM(V417,W417,X417,Y417)-INDEX(MO_RIS_NI_NONGAAP_Diluted,1,COLUMN()),6)</f>
        <v>193.72</v>
      </c>
      <c r="AA809" s="1072"/>
      <c r="AB809" s="1072"/>
      <c r="AC809" s="1072"/>
      <c r="AD809" s="1072"/>
      <c r="AE809" s="1072">
        <f>ROUND(SUM(AA417,AB417,AC417,AD417)-INDEX(MO_RIS_NI_NONGAAP_Diluted,1,COLUMN()),6)</f>
        <v>0</v>
      </c>
      <c r="AF809" s="1072"/>
      <c r="AG809" s="1072"/>
      <c r="AH809" s="1072"/>
      <c r="AI809" s="1072"/>
      <c r="AJ809" s="1072">
        <f>ROUND(SUM(AF417,AG417,AH417,AI417)-INDEX(MO_RIS_NI_NONGAAP_Diluted,1,COLUMN()),6)</f>
        <v>0</v>
      </c>
      <c r="AK809" s="1072"/>
      <c r="AL809" s="1072"/>
      <c r="AM809" s="1072"/>
      <c r="AN809" s="1072"/>
      <c r="AO809" s="1072">
        <f>ROUND(SUM(AK417,AL417,AM417,AN417)-INDEX(MO_RIS_NI_NONGAAP_Diluted,1,COLUMN()),6)</f>
        <v>0.24099999999999999</v>
      </c>
      <c r="AP809" s="1072"/>
      <c r="AQ809" s="1072"/>
      <c r="AR809" s="1072"/>
      <c r="AS809" s="1072"/>
      <c r="AT809" s="1072">
        <f>ROUND(SUM(AP417,AQ417,AR417,AS417)-INDEX(MO_RIS_NI_NONGAAP_Diluted,1,COLUMN()),6)</f>
        <v>0</v>
      </c>
      <c r="AU809" s="1072"/>
      <c r="AV809" s="1072"/>
      <c r="AW809" s="1073"/>
      <c r="AX809" s="1072"/>
      <c r="AY809" s="1072">
        <f>ROUND(SUM(AU417,AV417,AW417,AX417)-INDEX(MO_RIS_NI_NONGAAP_Diluted,1,COLUMN()),6)</f>
        <v>0</v>
      </c>
      <c r="AZ809" s="1072"/>
      <c r="BA809" s="1072"/>
      <c r="BB809" s="1072"/>
      <c r="BC809" s="1072"/>
      <c r="BD809" s="1072">
        <f ca="1">ROUND(SUM(AZ417,BA417,BB417,BC417)-INDEX(MO_RIS_NI_NONGAAP_Diluted,1,COLUMN()),6)</f>
        <v>0</v>
      </c>
      <c r="BE809" s="1072"/>
      <c r="BF809" s="1072"/>
      <c r="BG809" s="1072"/>
      <c r="BH809" s="1024"/>
    </row>
    <row r="810" spans="1:60" s="109" customFormat="1" x14ac:dyDescent="0.25">
      <c r="A810" s="1024" t="s">
        <v>312</v>
      </c>
      <c r="B810" s="685"/>
      <c r="C810" s="1072"/>
      <c r="D810" s="1072"/>
      <c r="E810" s="1072"/>
      <c r="F810" s="1072"/>
      <c r="G810" s="1072"/>
      <c r="H810" s="1072"/>
      <c r="I810" s="1072"/>
      <c r="J810" s="1072"/>
      <c r="K810" s="1072">
        <f ca="1">ROUND(SUM(G600,H600,I600,J600)-SUM(OFFSET(INDEX(MO_CFS_CFO_BeforeWC,1,COLUMN()),ROW(INDEX(MO_SubSection_CFS_CFO,1,COLUMN()))-ROW(INDEX(MO_CFS_CFO_BeforeWC,1,COLUMN())),0,ROW(INDEX(MO_CFS_CFO_BeforeWC,1,COLUMN()))-ROW(INDEX(MO_SubSection_CFS_CFO,1,COLUMN())),1)),6)+K593</f>
        <v>0</v>
      </c>
      <c r="L810" s="1072"/>
      <c r="M810" s="1072"/>
      <c r="N810" s="1072"/>
      <c r="O810" s="1072"/>
      <c r="P810" s="1072">
        <f ca="1">ROUND(SUM(L600,M600,N600,O600)-SUM(OFFSET(INDEX(MO_CFS_CFO_BeforeWC,1,COLUMN()),ROW(INDEX(MO_SubSection_CFS_CFO,1,COLUMN()))-ROW(INDEX(MO_CFS_CFO_BeforeWC,1,COLUMN())),0,ROW(INDEX(MO_CFS_CFO_BeforeWC,1,COLUMN()))-ROW(INDEX(MO_SubSection_CFS_CFO,1,COLUMN())),1)),6)+P593</f>
        <v>0</v>
      </c>
      <c r="Q810" s="1072"/>
      <c r="R810" s="1072"/>
      <c r="S810" s="1072"/>
      <c r="T810" s="1072"/>
      <c r="U810" s="1072">
        <f ca="1">ROUND(SUM(Q600,R600,S600,T600)-SUM(OFFSET(INDEX(MO_CFS_CFO_BeforeWC,1,COLUMN()),ROW(INDEX(MO_SubSection_CFS_CFO,1,COLUMN()))-ROW(INDEX(MO_CFS_CFO_BeforeWC,1,COLUMN())),0,ROW(INDEX(MO_CFS_CFO_BeforeWC,1,COLUMN()))-ROW(INDEX(MO_SubSection_CFS_CFO,1,COLUMN())),1)),6)+U593</f>
        <v>0</v>
      </c>
      <c r="V810" s="1072"/>
      <c r="W810" s="1072"/>
      <c r="X810" s="1072"/>
      <c r="Y810" s="1072"/>
      <c r="Z810" s="1072">
        <f ca="1">ROUND(SUM(V600,W600,X600,Y600)-SUM(OFFSET(INDEX(MO_CFS_CFO_BeforeWC,1,COLUMN()),ROW(INDEX(MO_SubSection_CFS_CFO,1,COLUMN()))-ROW(INDEX(MO_CFS_CFO_BeforeWC,1,COLUMN())),0,ROW(INDEX(MO_CFS_CFO_BeforeWC,1,COLUMN()))-ROW(INDEX(MO_SubSection_CFS_CFO,1,COLUMN())),1)),6)+Z593</f>
        <v>0</v>
      </c>
      <c r="AA810" s="1072"/>
      <c r="AB810" s="1072"/>
      <c r="AC810" s="1072"/>
      <c r="AD810" s="1072"/>
      <c r="AE810" s="1072">
        <f ca="1">ROUND(SUM(AA600,AB600,AC600,AD600)-SUM(OFFSET(INDEX(MO_CFS_CFO_BeforeWC,1,COLUMN()),ROW(INDEX(MO_SubSection_CFS_CFO,1,COLUMN()))-ROW(INDEX(MO_CFS_CFO_BeforeWC,1,COLUMN())),0,ROW(INDEX(MO_CFS_CFO_BeforeWC,1,COLUMN()))-ROW(INDEX(MO_SubSection_CFS_CFO,1,COLUMN())),1)),6)+AE593</f>
        <v>0</v>
      </c>
      <c r="AF810" s="1072"/>
      <c r="AG810" s="1072"/>
      <c r="AH810" s="1072"/>
      <c r="AI810" s="1072"/>
      <c r="AJ810" s="1072">
        <f ca="1">ROUND(SUM(AF600,AG600,AH600,AI600)-SUM(OFFSET(INDEX(MO_CFS_CFO_BeforeWC,1,COLUMN()),ROW(INDEX(MO_SubSection_CFS_CFO,1,COLUMN()))-ROW(INDEX(MO_CFS_CFO_BeforeWC,1,COLUMN())),0,ROW(INDEX(MO_CFS_CFO_BeforeWC,1,COLUMN()))-ROW(INDEX(MO_SubSection_CFS_CFO,1,COLUMN())),1)),6)+AJ593</f>
        <v>0</v>
      </c>
      <c r="AK810" s="1072"/>
      <c r="AL810" s="1072"/>
      <c r="AM810" s="1072"/>
      <c r="AN810" s="1072"/>
      <c r="AO810" s="1072">
        <f ca="1">ROUND(SUM(AK600,AL600,AM600,AN600)-SUM(OFFSET(INDEX(MO_CFS_CFO_BeforeWC,1,COLUMN()),ROW(INDEX(MO_SubSection_CFS_CFO,1,COLUMN()))-ROW(INDEX(MO_CFS_CFO_BeforeWC,1,COLUMN())),0,ROW(INDEX(MO_CFS_CFO_BeforeWC,1,COLUMN()))-ROW(INDEX(MO_SubSection_CFS_CFO,1,COLUMN())),1)),6)+AO593</f>
        <v>0</v>
      </c>
      <c r="AP810" s="1072"/>
      <c r="AQ810" s="1072"/>
      <c r="AR810" s="1072"/>
      <c r="AS810" s="1072"/>
      <c r="AT810" s="1072">
        <f ca="1">ROUND(SUM(AP600,AQ600,AR600,AS600)-SUM(OFFSET(INDEX(MO_CFS_CFO_BeforeWC,1,COLUMN()),ROW(INDEX(MO_SubSection_CFS_CFO,1,COLUMN()))-ROW(INDEX(MO_CFS_CFO_BeforeWC,1,COLUMN())),0,ROW(INDEX(MO_CFS_CFO_BeforeWC,1,COLUMN()))-ROW(INDEX(MO_SubSection_CFS_CFO,1,COLUMN())),1)),6)+AT593</f>
        <v>0</v>
      </c>
      <c r="AU810" s="1072"/>
      <c r="AV810" s="1072"/>
      <c r="AW810" s="1073"/>
      <c r="AX810" s="1072"/>
      <c r="AY810" s="1072">
        <f ca="1">ROUND(SUM(AU600,AV600,AW600,AX600)-SUM(OFFSET(INDEX(MO_CFS_CFO_BeforeWC,1,COLUMN()),ROW(INDEX(MO_SubSection_CFS_CFO,1,COLUMN()))-ROW(INDEX(MO_CFS_CFO_BeforeWC,1,COLUMN())),0,ROW(INDEX(MO_CFS_CFO_BeforeWC,1,COLUMN()))-ROW(INDEX(MO_SubSection_CFS_CFO,1,COLUMN())),1)),6)+AU593</f>
        <v>0</v>
      </c>
      <c r="AZ810" s="1072"/>
      <c r="BA810" s="1072"/>
      <c r="BB810" s="1072"/>
      <c r="BC810" s="1072"/>
      <c r="BD810" s="1072">
        <f ca="1">ROUND(SUM(AZ600,BA600,BB600,BC600)-SUM(OFFSET(INDEX(MO_CFS_CFO_BeforeWC,1,COLUMN()),ROW(INDEX(MO_SubSection_CFS_CFO,1,COLUMN()))-ROW(INDEX(MO_CFS_CFO_BeforeWC,1,COLUMN())),0,ROW(INDEX(MO_CFS_CFO_BeforeWC,1,COLUMN()))-ROW(INDEX(MO_SubSection_CFS_CFO,1,COLUMN())),1)),6)+BD593</f>
        <v>0</v>
      </c>
      <c r="BE810" s="1072"/>
      <c r="BF810" s="1072"/>
      <c r="BG810" s="1072"/>
      <c r="BH810" s="1024"/>
    </row>
    <row r="811" spans="1:60" s="109" customFormat="1" x14ac:dyDescent="0.25">
      <c r="A811" s="1024" t="s">
        <v>313</v>
      </c>
      <c r="B811" s="685"/>
      <c r="C811" s="1072"/>
      <c r="D811" s="1072"/>
      <c r="E811" s="1072"/>
      <c r="F811" s="1072"/>
      <c r="G811" s="1072"/>
      <c r="H811" s="1072"/>
      <c r="I811" s="1072"/>
      <c r="J811" s="1072"/>
      <c r="K811" s="1072">
        <f ca="1">ROUND(SUM(G616,H616,I616,J616)-SUM(OFFSET(INDEX(MO_CFS_CFO,1,COLUMN()),ROW(INDEX(MO_CFS_CFO_BeforeWC,1,COLUMN()))-ROW(INDEX(MO_CFS_CFO,1,COLUMN())),0,ROW(INDEX(MO_CFS_CFO,1,COLUMN()))-ROW(INDEX(MO_CFS_CFO_BeforeWC,1,COLUMN())),1)),6)</f>
        <v>0</v>
      </c>
      <c r="L811" s="1072"/>
      <c r="M811" s="1072"/>
      <c r="N811" s="1072"/>
      <c r="O811" s="1072"/>
      <c r="P811" s="1072">
        <f ca="1">ROUND(SUM(L616,M616,N616,O616)-SUM(OFFSET(INDEX(MO_CFS_CFO,1,COLUMN()),ROW(INDEX(MO_CFS_CFO_BeforeWC,1,COLUMN()))-ROW(INDEX(MO_CFS_CFO,1,COLUMN())),0,ROW(INDEX(MO_CFS_CFO,1,COLUMN()))-ROW(INDEX(MO_CFS_CFO_BeforeWC,1,COLUMN())),1)),6)</f>
        <v>0</v>
      </c>
      <c r="Q811" s="1072"/>
      <c r="R811" s="1072"/>
      <c r="S811" s="1072"/>
      <c r="T811" s="1072"/>
      <c r="U811" s="1072">
        <f ca="1">ROUND(SUM(Q616,R616,S616,T616)-SUM(OFFSET(INDEX(MO_CFS_CFO,1,COLUMN()),ROW(INDEX(MO_CFS_CFO_BeforeWC,1,COLUMN()))-ROW(INDEX(MO_CFS_CFO,1,COLUMN())),0,ROW(INDEX(MO_CFS_CFO,1,COLUMN()))-ROW(INDEX(MO_CFS_CFO_BeforeWC,1,COLUMN())),1)),6)</f>
        <v>0</v>
      </c>
      <c r="V811" s="1072"/>
      <c r="W811" s="1072"/>
      <c r="X811" s="1072"/>
      <c r="Y811" s="1072"/>
      <c r="Z811" s="1072">
        <f ca="1">ROUND(SUM(V616,W616,X616,Y616)-SUM(OFFSET(INDEX(MO_CFS_CFO,1,COLUMN()),ROW(INDEX(MO_CFS_CFO_BeforeWC,1,COLUMN()))-ROW(INDEX(MO_CFS_CFO,1,COLUMN())),0,ROW(INDEX(MO_CFS_CFO,1,COLUMN()))-ROW(INDEX(MO_CFS_CFO_BeforeWC,1,COLUMN())),1)),6)</f>
        <v>0</v>
      </c>
      <c r="AA811" s="1072"/>
      <c r="AB811" s="1072"/>
      <c r="AC811" s="1072"/>
      <c r="AD811" s="1072"/>
      <c r="AE811" s="1072">
        <f ca="1">ROUND(SUM(AA616,AB616,AC616,AD616)-SUM(OFFSET(INDEX(MO_CFS_CFO,1,COLUMN()),ROW(INDEX(MO_CFS_CFO_BeforeWC,1,COLUMN()))-ROW(INDEX(MO_CFS_CFO,1,COLUMN())),0,ROW(INDEX(MO_CFS_CFO,1,COLUMN()))-ROW(INDEX(MO_CFS_CFO_BeforeWC,1,COLUMN())),1))+AE604,6)</f>
        <v>0</v>
      </c>
      <c r="AF811" s="1072"/>
      <c r="AG811" s="1072"/>
      <c r="AH811" s="1072"/>
      <c r="AI811" s="1072"/>
      <c r="AJ811" s="1072">
        <f ca="1">ROUND(SUM(AF616,AG616,AH616,AI616)-SUM(OFFSET(INDEX(MO_CFS_CFO,1,COLUMN()),ROW(INDEX(MO_CFS_CFO_BeforeWC,1,COLUMN()))-ROW(INDEX(MO_CFS_CFO,1,COLUMN())),0,ROW(INDEX(MO_CFS_CFO,1,COLUMN()))-ROW(INDEX(MO_CFS_CFO_BeforeWC,1,COLUMN())),1))+AJ604,6)</f>
        <v>0</v>
      </c>
      <c r="AK811" s="1072"/>
      <c r="AL811" s="1072"/>
      <c r="AM811" s="1072"/>
      <c r="AN811" s="1072"/>
      <c r="AO811" s="1072">
        <f ca="1">ROUND(SUM(AK616,AL616,AM616,AN616)-SUM(OFFSET(INDEX(MO_CFS_CFO,1,COLUMN()),ROW(INDEX(MO_CFS_CFO_BeforeWC,1,COLUMN()))-ROW(INDEX(MO_CFS_CFO,1,COLUMN())),0,ROW(INDEX(MO_CFS_CFO,1,COLUMN()))-ROW(INDEX(MO_CFS_CFO_BeforeWC,1,COLUMN())),1))+AO604,6)</f>
        <v>0</v>
      </c>
      <c r="AP811" s="1072"/>
      <c r="AQ811" s="1072"/>
      <c r="AR811" s="1072"/>
      <c r="AS811" s="1072"/>
      <c r="AT811" s="1072">
        <f ca="1">ROUND(SUM(AP616,AQ616,AR616,AS616)-SUM(OFFSET(INDEX(MO_CFS_CFO,1,COLUMN()),ROW(INDEX(MO_CFS_CFO_BeforeWC,1,COLUMN()))-ROW(INDEX(MO_CFS_CFO,1,COLUMN())),0,ROW(INDEX(MO_CFS_CFO,1,COLUMN()))-ROW(INDEX(MO_CFS_CFO_BeforeWC,1,COLUMN())),1))+AT604,6)</f>
        <v>0</v>
      </c>
      <c r="AU811" s="1072"/>
      <c r="AV811" s="1072"/>
      <c r="AW811" s="1073"/>
      <c r="AX811" s="1072"/>
      <c r="AY811" s="1072">
        <f ca="1">ROUND(SUM(AU616,AV616,AW616,AX616)-SUM(OFFSET(INDEX(MO_CFS_CFO,1,COLUMN()),ROW(INDEX(MO_CFS_CFO_BeforeWC,1,COLUMN()))-ROW(INDEX(MO_CFS_CFO,1,COLUMN())),0,ROW(INDEX(MO_CFS_CFO,1,COLUMN()))-ROW(INDEX(MO_CFS_CFO_BeforeWC,1,COLUMN())),1))+AY604,6)</f>
        <v>0</v>
      </c>
      <c r="AZ811" s="1072"/>
      <c r="BA811" s="1072"/>
      <c r="BB811" s="1072"/>
      <c r="BC811" s="1072"/>
      <c r="BD811" s="1072">
        <f ca="1">ROUND(SUM(AZ616,BA616,BB616,BC616)-SUM(OFFSET(INDEX(MO_CFS_CFO,1,COLUMN()),ROW(INDEX(MO_CFS_CFO_BeforeWC,1,COLUMN()))-ROW(INDEX(MO_CFS_CFO,1,COLUMN())),0,ROW(INDEX(MO_CFS_CFO,1,COLUMN()))-ROW(INDEX(MO_CFS_CFO_BeforeWC,1,COLUMN())),1))+BD604,6)</f>
        <v>0</v>
      </c>
      <c r="BE811" s="1072"/>
      <c r="BF811" s="1072"/>
      <c r="BG811" s="1072"/>
      <c r="BH811" s="1024"/>
    </row>
    <row r="812" spans="1:60" s="109" customFormat="1" x14ac:dyDescent="0.25">
      <c r="A812" s="1024" t="s">
        <v>314</v>
      </c>
      <c r="B812" s="685"/>
      <c r="C812" s="1072"/>
      <c r="D812" s="1072"/>
      <c r="E812" s="1072"/>
      <c r="F812" s="1072"/>
      <c r="G812" s="1072"/>
      <c r="H812" s="1072"/>
      <c r="I812" s="1072"/>
      <c r="J812" s="1072"/>
      <c r="K812" s="1072">
        <f ca="1">ROUND(SUM(G631,H631,I631,J631)-SUM(OFFSET(INDEX(MO_CFS_CFI,1,COLUMN()),ROW(INDEX(MO_SubSection_CFS_CFI,1,COLUMN()))-ROW(INDEX(MO_CFS_CFI,1,COLUMN())),0,ROW(INDEX(MO_CFS_CFI,1,COLUMN()))-ROW(INDEX(MO_SubSection_CFS_CFI,1,COLUMN())),1)),6)</f>
        <v>0</v>
      </c>
      <c r="L812" s="1072"/>
      <c r="M812" s="1072"/>
      <c r="N812" s="1072"/>
      <c r="O812" s="1072"/>
      <c r="P812" s="1072">
        <f ca="1">ROUND(SUM(L631,M631,N631,O631)-SUM(OFFSET(INDEX(MO_CFS_CFI,1,COLUMN()),ROW(INDEX(MO_SubSection_CFS_CFI,1,COLUMN()))-ROW(INDEX(MO_CFS_CFI,1,COLUMN())),0,ROW(INDEX(MO_CFS_CFI,1,COLUMN()))-ROW(INDEX(MO_SubSection_CFS_CFI,1,COLUMN())),1)),6)</f>
        <v>0</v>
      </c>
      <c r="Q812" s="1072"/>
      <c r="R812" s="1072"/>
      <c r="S812" s="1072"/>
      <c r="T812" s="1072"/>
      <c r="U812" s="1072">
        <f ca="1">ROUND(SUM(Q631,R631,S631,T631)-SUM(OFFSET(INDEX(MO_CFS_CFI,1,COLUMN()),ROW(INDEX(MO_SubSection_CFS_CFI,1,COLUMN()))-ROW(INDEX(MO_CFS_CFI,1,COLUMN())),0,ROW(INDEX(MO_CFS_CFI,1,COLUMN()))-ROW(INDEX(MO_SubSection_CFS_CFI,1,COLUMN())),1)),6)</f>
        <v>0</v>
      </c>
      <c r="V812" s="1072"/>
      <c r="W812" s="1072"/>
      <c r="X812" s="1072"/>
      <c r="Y812" s="1072"/>
      <c r="Z812" s="1072">
        <f ca="1">ROUND(SUM(V631,W631,X631,Y631)-SUM(OFFSET(INDEX(MO_CFS_CFI,1,COLUMN()),ROW(INDEX(MO_SubSection_CFS_CFI,1,COLUMN()))-ROW(INDEX(MO_CFS_CFI,1,COLUMN())),0,ROW(INDEX(MO_CFS_CFI,1,COLUMN()))-ROW(INDEX(MO_SubSection_CFS_CFI,1,COLUMN())),1)),6)</f>
        <v>0</v>
      </c>
      <c r="AA812" s="1072"/>
      <c r="AB812" s="1072"/>
      <c r="AC812" s="1072"/>
      <c r="AD812" s="1072"/>
      <c r="AE812" s="1072">
        <f ca="1">ROUND(SUM(AA631,AB631,AC631,AD631)-SUM(OFFSET(INDEX(MO_CFS_CFI,1,COLUMN()),ROW(INDEX(MO_SubSection_CFS_CFI,1,COLUMN()))-ROW(INDEX(MO_CFS_CFI,1,COLUMN())),0,ROW(INDEX(MO_CFS_CFI,1,COLUMN()))-ROW(INDEX(MO_SubSection_CFS_CFI,1,COLUMN())),1)),6)</f>
        <v>0</v>
      </c>
      <c r="AF812" s="1072"/>
      <c r="AG812" s="1072"/>
      <c r="AH812" s="1072"/>
      <c r="AI812" s="1072"/>
      <c r="AJ812" s="1072">
        <f ca="1">ROUND(SUM(AF631,AG631,AH631,AI631)-SUM(OFFSET(INDEX(MO_CFS_CFI,1,COLUMN()),ROW(INDEX(MO_SubSection_CFS_CFI,1,COLUMN()))-ROW(INDEX(MO_CFS_CFI,1,COLUMN())),0,ROW(INDEX(MO_CFS_CFI,1,COLUMN()))-ROW(INDEX(MO_SubSection_CFS_CFI,1,COLUMN())),1)),6)</f>
        <v>0</v>
      </c>
      <c r="AK812" s="1072"/>
      <c r="AL812" s="1072"/>
      <c r="AM812" s="1072"/>
      <c r="AN812" s="1072"/>
      <c r="AO812" s="1072">
        <f ca="1">ROUND(SUM(AK631,AL631,AM631,AN631)-SUM(OFFSET(INDEX(MO_CFS_CFI,1,COLUMN()),ROW(INDEX(MO_SubSection_CFS_CFI,1,COLUMN()))-ROW(INDEX(MO_CFS_CFI,1,COLUMN())),0,ROW(INDEX(MO_CFS_CFI,1,COLUMN()))-ROW(INDEX(MO_SubSection_CFS_CFI,1,COLUMN())),1)),6)</f>
        <v>0</v>
      </c>
      <c r="AP812" s="1072"/>
      <c r="AQ812" s="1072"/>
      <c r="AR812" s="1072"/>
      <c r="AS812" s="1072"/>
      <c r="AT812" s="1072">
        <f ca="1">ROUND(SUM(AP631,AQ631,AR631,AS631)-SUM(OFFSET(INDEX(MO_CFS_CFI,1,COLUMN()),ROW(INDEX(MO_SubSection_CFS_CFI,1,COLUMN()))-ROW(INDEX(MO_CFS_CFI,1,COLUMN())),0,ROW(INDEX(MO_CFS_CFI,1,COLUMN()))-ROW(INDEX(MO_SubSection_CFS_CFI,1,COLUMN())),1)),6)</f>
        <v>0</v>
      </c>
      <c r="AU812" s="1072"/>
      <c r="AV812" s="1072"/>
      <c r="AW812" s="1073"/>
      <c r="AX812" s="1072"/>
      <c r="AY812" s="1072">
        <f ca="1">ROUND(SUM(AU631,AV631,AW631,AX631)-SUM(OFFSET(INDEX(MO_CFS_CFI,1,COLUMN()),ROW(INDEX(MO_SubSection_CFS_CFI,1,COLUMN()))-ROW(INDEX(MO_CFS_CFI,1,COLUMN())),0,ROW(INDEX(MO_CFS_CFI,1,COLUMN()))-ROW(INDEX(MO_SubSection_CFS_CFI,1,COLUMN())),1)),6)</f>
        <v>0</v>
      </c>
      <c r="AZ812" s="1072"/>
      <c r="BA812" s="1072"/>
      <c r="BB812" s="1072"/>
      <c r="BC812" s="1072"/>
      <c r="BD812" s="1072">
        <f ca="1">ROUND(SUM(AZ631,BA631,BB631,BC631)-SUM(OFFSET(INDEX(MO_CFS_CFI,1,COLUMN()),ROW(INDEX(MO_SubSection_CFS_CFI,1,COLUMN()))-ROW(INDEX(MO_CFS_CFI,1,COLUMN())),0,ROW(INDEX(MO_CFS_CFI,1,COLUMN()))-ROW(INDEX(MO_SubSection_CFS_CFI,1,COLUMN())),1)),6)</f>
        <v>0</v>
      </c>
      <c r="BE812" s="1072"/>
      <c r="BF812" s="1072"/>
      <c r="BG812" s="1072"/>
      <c r="BH812" s="1024"/>
    </row>
    <row r="813" spans="1:60" s="109" customFormat="1" x14ac:dyDescent="0.25">
      <c r="A813" s="1024" t="s">
        <v>315</v>
      </c>
      <c r="B813" s="685"/>
      <c r="C813" s="1072"/>
      <c r="D813" s="1072"/>
      <c r="E813" s="1072"/>
      <c r="F813" s="1072"/>
      <c r="G813" s="1072"/>
      <c r="H813" s="1072"/>
      <c r="I813" s="1072"/>
      <c r="J813" s="1072"/>
      <c r="K813" s="1072">
        <f ca="1">ROUND(SUM(G661,H661,I661,J661)-SUM(OFFSET(INDEX(MO_CFS_CFF,1,COLUMN()),ROW(INDEX(MO_SubSection_CFS_CFF,1,COLUMN()))-ROW(INDEX(MO_CFS_CFF,1,COLUMN())),0,ROW(INDEX(MO_CFS_CFF,1,COLUMN()))-ROW(INDEX(MO_SubSection_CFS_CFF,1,COLUMN())),1)),6)</f>
        <v>0</v>
      </c>
      <c r="L813" s="1072"/>
      <c r="M813" s="1072"/>
      <c r="N813" s="1072"/>
      <c r="O813" s="1072"/>
      <c r="P813" s="1072">
        <f ca="1">ROUND(SUM(L661,M661,N661,O661)-SUM(OFFSET(INDEX(MO_CFS_CFF,1,COLUMN()),ROW(INDEX(MO_SubSection_CFS_CFF,1,COLUMN()))-ROW(INDEX(MO_CFS_CFF,1,COLUMN())),0,ROW(INDEX(MO_CFS_CFF,1,COLUMN()))-ROW(INDEX(MO_SubSection_CFS_CFF,1,COLUMN())),1)),6)</f>
        <v>0</v>
      </c>
      <c r="Q813" s="1072"/>
      <c r="R813" s="1072"/>
      <c r="S813" s="1072"/>
      <c r="T813" s="1072"/>
      <c r="U813" s="1072">
        <f ca="1">ROUND(SUM(Q661,R661,S661,T661)-SUM(OFFSET(INDEX(MO_CFS_CFF,1,COLUMN()),ROW(INDEX(MO_SubSection_CFS_CFF,1,COLUMN()))-ROW(INDEX(MO_CFS_CFF,1,COLUMN())),0,ROW(INDEX(MO_CFS_CFF,1,COLUMN()))-ROW(INDEX(MO_SubSection_CFS_CFF,1,COLUMN())),1)),6)</f>
        <v>0</v>
      </c>
      <c r="V813" s="1072"/>
      <c r="W813" s="1072"/>
      <c r="X813" s="1072"/>
      <c r="Y813" s="1072"/>
      <c r="Z813" s="1072">
        <f ca="1">ROUND(SUM(V661,W661,X661,Y661)-SUM(OFFSET(INDEX(MO_CFS_CFF,1,COLUMN()),ROW(INDEX(MO_SubSection_CFS_CFF,1,COLUMN()))-ROW(INDEX(MO_CFS_CFF,1,COLUMN())),0,ROW(INDEX(MO_CFS_CFF,1,COLUMN()))-ROW(INDEX(MO_SubSection_CFS_CFF,1,COLUMN())),1)),6)</f>
        <v>0</v>
      </c>
      <c r="AA813" s="1072"/>
      <c r="AB813" s="1072"/>
      <c r="AC813" s="1072"/>
      <c r="AD813" s="1072"/>
      <c r="AE813" s="1072">
        <f ca="1">ROUND(SUM(AA661,AB661,AC661,AD661)-SUM(OFFSET(INDEX(MO_CFS_CFF,1,COLUMN()),ROW(INDEX(MO_SubSection_CFS_CFF,1,COLUMN()))-ROW(INDEX(MO_CFS_CFF,1,COLUMN())),0,ROW(INDEX(MO_CFS_CFF,1,COLUMN()))-ROW(INDEX(MO_SubSection_CFS_CFF,1,COLUMN())),1)),6)</f>
        <v>0</v>
      </c>
      <c r="AF813" s="1072"/>
      <c r="AG813" s="1072"/>
      <c r="AH813" s="1072"/>
      <c r="AI813" s="1072"/>
      <c r="AJ813" s="1072">
        <f ca="1">ROUND(SUM(AF661,AG661,AH661,AI661)-SUM(OFFSET(INDEX(MO_CFS_CFF,1,COLUMN()),ROW(INDEX(MO_SubSection_CFS_CFF,1,COLUMN()))-ROW(INDEX(MO_CFS_CFF,1,COLUMN())),0,ROW(INDEX(MO_CFS_CFF,1,COLUMN()))-ROW(INDEX(MO_SubSection_CFS_CFF,1,COLUMN())),1)),6)</f>
        <v>0</v>
      </c>
      <c r="AK813" s="1072"/>
      <c r="AL813" s="1072"/>
      <c r="AM813" s="1072"/>
      <c r="AN813" s="1072"/>
      <c r="AO813" s="1072">
        <f ca="1">ROUND(SUM(AK661,AL661,AM661,AN661)-SUM(OFFSET(INDEX(MO_CFS_CFF,1,COLUMN()),ROW(INDEX(MO_SubSection_CFS_CFF,1,COLUMN()))-ROW(INDEX(MO_CFS_CFF,1,COLUMN())),0,ROW(INDEX(MO_CFS_CFF,1,COLUMN()))-ROW(INDEX(MO_SubSection_CFS_CFF,1,COLUMN())),1)),6)</f>
        <v>0</v>
      </c>
      <c r="AP813" s="1072"/>
      <c r="AQ813" s="1072"/>
      <c r="AR813" s="1072"/>
      <c r="AS813" s="1072"/>
      <c r="AT813" s="1072">
        <f ca="1">ROUND(SUM(AP661,AQ661,AR661,AS661)-SUM(OFFSET(INDEX(MO_CFS_CFF,1,COLUMN()),ROW(INDEX(MO_SubSection_CFS_CFF,1,COLUMN()))-ROW(INDEX(MO_CFS_CFF,1,COLUMN())),0,ROW(INDEX(MO_CFS_CFF,1,COLUMN()))-ROW(INDEX(MO_SubSection_CFS_CFF,1,COLUMN())),1)),6)</f>
        <v>0</v>
      </c>
      <c r="AU813" s="1072"/>
      <c r="AV813" s="1072"/>
      <c r="AW813" s="1073"/>
      <c r="AX813" s="1072"/>
      <c r="AY813" s="1072">
        <f ca="1">ROUND(SUM(AU661,AV661,AW661,AX661)-SUM(OFFSET(INDEX(MO_CFS_CFF,1,COLUMN()),ROW(INDEX(MO_SubSection_CFS_CFF,1,COLUMN()))-ROW(INDEX(MO_CFS_CFF,1,COLUMN())),0,ROW(INDEX(MO_CFS_CFF,1,COLUMN()))-ROW(INDEX(MO_SubSection_CFS_CFF,1,COLUMN())),1)),6)</f>
        <v>0</v>
      </c>
      <c r="AZ813" s="1072"/>
      <c r="BA813" s="1072"/>
      <c r="BB813" s="1072"/>
      <c r="BC813" s="1072"/>
      <c r="BD813" s="1072">
        <f ca="1">ROUND(SUM(AZ661,BA661,BB661,BC661)-SUM(OFFSET(INDEX(MO_CFS_CFF,1,COLUMN()),ROW(INDEX(MO_SubSection_CFS_CFF,1,COLUMN()))-ROW(INDEX(MO_CFS_CFF,1,COLUMN())),0,ROW(INDEX(MO_CFS_CFF,1,COLUMN()))-ROW(INDEX(MO_SubSection_CFS_CFF,1,COLUMN())),1)),6)</f>
        <v>0</v>
      </c>
      <c r="BE813" s="1072"/>
      <c r="BF813" s="1072"/>
      <c r="BG813" s="1072"/>
      <c r="BH813" s="1024"/>
    </row>
    <row r="814" spans="1:60" s="109" customFormat="1" x14ac:dyDescent="0.25">
      <c r="A814" s="1024" t="s">
        <v>316</v>
      </c>
      <c r="B814" s="685"/>
      <c r="C814" s="1072"/>
      <c r="D814" s="1072"/>
      <c r="E814" s="1072"/>
      <c r="F814" s="1072"/>
      <c r="G814" s="1072"/>
      <c r="H814" s="1072"/>
      <c r="I814" s="1072"/>
      <c r="J814" s="1072"/>
      <c r="K814" s="1072">
        <f>ROUND(SUM(INDEX(MO_CFSum_Acquisition,0,COLUMN()),INDEX(MO_CFSum_Capex,0,COLUMN()),INDEX(MO_CFSum_Divestiture,0,COLUMN()),INDEX(MO_CFSum_Dividend,0,COLUMN()))-SUM(G437,H437,I437,J437,G438,H438,I438,J438,G439,H439,I439,J439)-SUM(G435,H435,I435,J435),6)</f>
        <v>0</v>
      </c>
      <c r="L814" s="1072"/>
      <c r="M814" s="1072"/>
      <c r="N814" s="1072"/>
      <c r="O814" s="1072"/>
      <c r="P814" s="1072">
        <f>ROUND(SUM(INDEX(MO_CFSum_Acquisition,0,COLUMN()),INDEX(MO_CFSum_Capex,0,COLUMN()),INDEX(MO_CFSum_Divestiture,0,COLUMN()),INDEX(MO_CFSum_Dividend,0,COLUMN()))-SUM(L437,M437,N437,O437,L438,M438,N438,O438,L439,M439,N439,O439)-SUM(L435,M435,N435,O435),6)</f>
        <v>0</v>
      </c>
      <c r="Q814" s="1072"/>
      <c r="R814" s="1072"/>
      <c r="S814" s="1072"/>
      <c r="T814" s="1072"/>
      <c r="U814" s="1072">
        <f>ROUND(SUM(INDEX(MO_CFSum_Acquisition,0,COLUMN()),INDEX(MO_CFSum_Capex,0,COLUMN()),INDEX(MO_CFSum_Divestiture,0,COLUMN()),INDEX(MO_CFSum_Dividend,0,COLUMN()))-SUM(Q437,R437,S437,T437,Q438,R438,S438,T438,Q439,R439,S439,T439)-SUM(Q435,R435,S435,T435),6)</f>
        <v>0</v>
      </c>
      <c r="V814" s="1072"/>
      <c r="W814" s="1072"/>
      <c r="X814" s="1072"/>
      <c r="Y814" s="1072"/>
      <c r="Z814" s="1072">
        <f>ROUND(SUM(INDEX(MO_CFSum_Acquisition,0,COLUMN()),INDEX(MO_CFSum_Capex,0,COLUMN()),INDEX(MO_CFSum_Divestiture,0,COLUMN()),INDEX(MO_CFSum_Dividend,0,COLUMN()))-SUM(V437,W437,X437,Y437,V438,W438,X438,Y438,V439,W439,X439,Y439)-SUM(V435,W435,X435,Y435),6)</f>
        <v>0</v>
      </c>
      <c r="AA814" s="1072"/>
      <c r="AB814" s="1072"/>
      <c r="AC814" s="1072"/>
      <c r="AD814" s="1072"/>
      <c r="AE814" s="1072">
        <f>ROUND(SUM(INDEX(MO_CFSum_Acquisition,0,COLUMN()),INDEX(MO_CFSum_Capex,0,COLUMN()),INDEX(MO_CFSum_Divestiture,0,COLUMN()),INDEX(MO_CFSum_Dividend,0,COLUMN()))-SUM(AA437,AB437,AC437,AD437,AA438,AB438,AC438,AD438,AA439,AB439,AC439,AD439)-SUM(AA435,AB435,AC435,AD435),6)</f>
        <v>0</v>
      </c>
      <c r="AF814" s="1072"/>
      <c r="AG814" s="1072"/>
      <c r="AH814" s="1072"/>
      <c r="AI814" s="1072"/>
      <c r="AJ814" s="1072">
        <f>ROUND(SUM(INDEX(MO_CFSum_Acquisition,0,COLUMN()),INDEX(MO_CFSum_Capex,0,COLUMN()),INDEX(MO_CFSum_Divestiture,0,COLUMN()),INDEX(MO_CFSum_Dividend,0,COLUMN()))-SUM(AF437,AG437,AH437,AI437,AF438,AG438,AH438,AI438,AF439,AG439,AH439,AI439)-SUM(AF435,AG435,AH435,AI435),6)</f>
        <v>0</v>
      </c>
      <c r="AK814" s="1072"/>
      <c r="AL814" s="1072"/>
      <c r="AM814" s="1072"/>
      <c r="AN814" s="1072"/>
      <c r="AO814" s="1072">
        <f>ROUND(SUM(INDEX(MO_CFSum_Acquisition,0,COLUMN()),INDEX(MO_CFSum_Capex,0,COLUMN()),INDEX(MO_CFSum_Divestiture,0,COLUMN()),INDEX(MO_CFSum_Dividend,0,COLUMN()))-SUM(AK437,AL437,AM437,AN437,AK438,AL438,AM438,AN438,AK439,AL439,AM439,AN439)-SUM(AK435,AL435,AM435,AN435),6)</f>
        <v>0</v>
      </c>
      <c r="AP814" s="1072"/>
      <c r="AQ814" s="1072"/>
      <c r="AR814" s="1072"/>
      <c r="AS814" s="1072"/>
      <c r="AT814" s="1072">
        <f>ROUND(SUM(INDEX(MO_CFSum_Acquisition,0,COLUMN()),INDEX(MO_CFSum_Capex,0,COLUMN()),INDEX(MO_CFSum_Divestiture,0,COLUMN()),INDEX(MO_CFSum_Dividend,0,COLUMN()))-SUM(AP437,AQ437,AR437,AS437,AP438,AQ438,AR438,AS438,AP439,AQ439,AR439,AS439)-SUM(AP435,AQ435,AR435,AS435),6)</f>
        <v>0</v>
      </c>
      <c r="AU814" s="1072"/>
      <c r="AV814" s="1072"/>
      <c r="AW814" s="1073"/>
      <c r="AX814" s="1072"/>
      <c r="AY814" s="1072">
        <f ca="1">ROUND(SUM(INDEX(MO_CFSum_Acquisition,0,COLUMN()),INDEX(MO_CFSum_Capex,0,COLUMN()),INDEX(MO_CFSum_Divestiture,0,COLUMN()),INDEX(MO_CFSum_Dividend,0,COLUMN()))-SUM(AU437,AV437,AW437,AX437,AU438,AV438,AW438,AX438,AU439,AV439,AW439,AX439)-SUM(AU435,AV435,AW435,AX435),6)</f>
        <v>0</v>
      </c>
      <c r="AZ814" s="1072"/>
      <c r="BA814" s="1072"/>
      <c r="BB814" s="1072"/>
      <c r="BC814" s="1072"/>
      <c r="BD814" s="1072">
        <f ca="1">ROUND(SUM(INDEX(MO_CFSum_Acquisition,0,COLUMN()),INDEX(MO_CFSum_Capex,0,COLUMN()),INDEX(MO_CFSum_Divestiture,0,COLUMN()),INDEX(MO_CFSum_Dividend,0,COLUMN()))-SUM(AZ437,BA437,BB437,BC437,AZ438,BA438,BB438,BC438,AZ439,BA439,BB439,BC439)-SUM(AZ435,BA435,BB435,BC435),6)</f>
        <v>0</v>
      </c>
      <c r="BE814" s="1072"/>
      <c r="BF814" s="1072"/>
      <c r="BG814" s="1072"/>
      <c r="BH814" s="1024"/>
    </row>
    <row r="815" spans="1:60" s="109" customFormat="1" x14ac:dyDescent="0.25">
      <c r="A815" s="1021"/>
      <c r="B815" s="1021"/>
      <c r="C815" s="1052"/>
      <c r="D815" s="1052"/>
      <c r="E815" s="1052"/>
      <c r="F815" s="1052"/>
      <c r="G815" s="1052"/>
      <c r="H815" s="1052"/>
      <c r="I815" s="1052"/>
      <c r="J815" s="1052"/>
      <c r="K815" s="1052"/>
      <c r="L815" s="1052"/>
      <c r="M815" s="1052"/>
      <c r="N815" s="1052"/>
      <c r="O815" s="1052"/>
      <c r="P815" s="1052"/>
      <c r="Q815" s="1052"/>
      <c r="R815" s="1052"/>
      <c r="S815" s="1052"/>
      <c r="T815" s="1052"/>
      <c r="U815" s="1052"/>
      <c r="V815" s="1052"/>
      <c r="W815" s="1052"/>
      <c r="X815" s="1052"/>
      <c r="Y815" s="1052"/>
      <c r="Z815" s="1052"/>
      <c r="AA815" s="1052"/>
      <c r="AB815" s="1052"/>
      <c r="AC815" s="1052"/>
      <c r="AD815" s="1052"/>
      <c r="AE815" s="1052"/>
      <c r="AF815" s="1052"/>
      <c r="AG815" s="1052"/>
      <c r="AH815" s="1052"/>
      <c r="AI815" s="1052"/>
      <c r="AJ815" s="1052"/>
      <c r="AK815" s="1052"/>
      <c r="AL815" s="1052"/>
      <c r="AM815" s="1052"/>
      <c r="AN815" s="1052"/>
      <c r="AO815" s="1052"/>
      <c r="AP815" s="1052"/>
      <c r="AQ815" s="1052"/>
      <c r="AR815" s="1052"/>
      <c r="AS815" s="1052"/>
      <c r="AT815" s="1052"/>
      <c r="AU815" s="1052"/>
      <c r="AV815" s="1052"/>
      <c r="AW815" s="1053"/>
      <c r="AX815" s="1052"/>
      <c r="AY815" s="1052"/>
      <c r="AZ815" s="1052"/>
      <c r="BA815" s="1052"/>
      <c r="BB815" s="1052"/>
      <c r="BC815" s="1052"/>
      <c r="BD815" s="1052"/>
      <c r="BE815" s="1052"/>
      <c r="BF815" s="1052"/>
      <c r="BG815" s="1052"/>
      <c r="BH815" s="1024"/>
    </row>
    <row r="816" spans="1:60" s="104" customFormat="1" x14ac:dyDescent="0.25">
      <c r="A816" s="1025" t="s">
        <v>317</v>
      </c>
      <c r="B816" s="1025"/>
      <c r="C816" s="1025"/>
      <c r="D816" s="1025"/>
      <c r="E816" s="1025"/>
      <c r="F816" s="1025"/>
      <c r="G816" s="1025"/>
      <c r="H816" s="1025"/>
      <c r="I816" s="1025"/>
      <c r="J816" s="1025"/>
      <c r="K816" s="1025"/>
      <c r="L816" s="1025"/>
      <c r="M816" s="1025"/>
      <c r="N816" s="1025"/>
      <c r="O816" s="1025"/>
      <c r="P816" s="1025"/>
      <c r="Q816" s="1025"/>
      <c r="R816" s="1025"/>
      <c r="S816" s="1025"/>
      <c r="T816" s="1025"/>
      <c r="U816" s="1025"/>
      <c r="V816" s="1025"/>
      <c r="W816" s="1025"/>
      <c r="X816" s="1025"/>
      <c r="Y816" s="1025"/>
      <c r="Z816" s="1025"/>
      <c r="AA816" s="1025"/>
      <c r="AB816" s="1025"/>
      <c r="AC816" s="1025"/>
      <c r="AD816" s="1025"/>
      <c r="AE816" s="1025"/>
      <c r="AF816" s="1025"/>
      <c r="AG816" s="1025"/>
      <c r="AH816" s="1025"/>
      <c r="AI816" s="1025"/>
      <c r="AJ816" s="1025"/>
      <c r="AK816" s="1025"/>
      <c r="AL816" s="1025"/>
      <c r="AM816" s="1025"/>
      <c r="AN816" s="1025"/>
      <c r="AO816" s="1025"/>
      <c r="AP816" s="1025"/>
      <c r="AQ816" s="1025"/>
      <c r="AR816" s="1025"/>
      <c r="AS816" s="1025"/>
      <c r="AT816" s="1025"/>
      <c r="AU816" s="1025"/>
      <c r="AV816" s="1025"/>
      <c r="AW816" s="1026"/>
      <c r="AX816" s="1025"/>
      <c r="AY816" s="1025"/>
      <c r="AZ816" s="1025"/>
      <c r="BA816" s="1025"/>
      <c r="BB816" s="1025"/>
      <c r="BC816" s="1025"/>
      <c r="BD816" s="1025"/>
      <c r="BE816" s="1025"/>
      <c r="BF816" s="1025"/>
      <c r="BG816" s="1025"/>
      <c r="BH816" s="1034"/>
    </row>
    <row r="817" spans="1:60" s="107" customFormat="1" x14ac:dyDescent="0.25">
      <c r="A817" s="686"/>
      <c r="B817" s="1021"/>
      <c r="C817" s="194"/>
      <c r="D817" s="194"/>
      <c r="E817" s="1021"/>
      <c r="F817" s="1021"/>
      <c r="G817" s="1021"/>
      <c r="H817" s="1021"/>
      <c r="I817" s="1021"/>
      <c r="J817" s="1021"/>
      <c r="K817" s="1021"/>
      <c r="L817" s="1021"/>
      <c r="M817" s="1021"/>
      <c r="N817" s="1021"/>
      <c r="O817" s="1021"/>
      <c r="P817" s="1021"/>
      <c r="Q817" s="1021"/>
      <c r="R817" s="1021"/>
      <c r="S817" s="1021"/>
      <c r="T817" s="1021"/>
      <c r="U817" s="1021"/>
      <c r="V817" s="1021"/>
      <c r="W817" s="1021"/>
      <c r="X817" s="1021"/>
      <c r="Y817" s="1021"/>
      <c r="Z817" s="1021"/>
      <c r="AA817" s="1021"/>
      <c r="AB817" s="1021"/>
      <c r="AC817" s="1021"/>
      <c r="AD817" s="1021"/>
      <c r="AE817" s="1021"/>
      <c r="AF817" s="1021"/>
      <c r="AG817" s="1021"/>
      <c r="AH817" s="1021"/>
      <c r="AI817" s="1021"/>
      <c r="AJ817" s="1021"/>
      <c r="AK817" s="1021"/>
      <c r="AL817" s="1021"/>
      <c r="AM817" s="1021"/>
      <c r="AN817" s="1021"/>
      <c r="AO817" s="1021"/>
      <c r="AP817" s="1021"/>
      <c r="AQ817" s="1021"/>
      <c r="AR817" s="1021"/>
      <c r="AS817" s="1021"/>
      <c r="AT817" s="1021"/>
      <c r="AU817" s="1021"/>
      <c r="AV817" s="1021"/>
      <c r="AW817" s="1022"/>
      <c r="AX817" s="1021"/>
      <c r="AY817" s="1021"/>
      <c r="AZ817" s="1021"/>
      <c r="BA817" s="1021"/>
      <c r="BB817" s="1021"/>
      <c r="BC817" s="1021"/>
      <c r="BD817" s="1021"/>
      <c r="BE817" s="1021"/>
      <c r="BF817" s="1021"/>
      <c r="BG817" s="1021"/>
      <c r="BH817" s="1024"/>
    </row>
    <row r="818" spans="1:60" s="104" customFormat="1" x14ac:dyDescent="0.25">
      <c r="A818" s="485" t="s">
        <v>318</v>
      </c>
      <c r="B818" s="687"/>
      <c r="C818" s="688"/>
      <c r="D818" s="688"/>
      <c r="E818" s="437"/>
      <c r="F818" s="437"/>
      <c r="G818" s="437"/>
      <c r="H818" s="437"/>
      <c r="I818" s="437"/>
      <c r="J818" s="437"/>
      <c r="K818" s="437"/>
      <c r="L818" s="437"/>
      <c r="M818" s="437"/>
      <c r="N818" s="437"/>
      <c r="O818" s="437"/>
      <c r="P818" s="437"/>
      <c r="Q818" s="437"/>
      <c r="R818" s="437"/>
      <c r="S818" s="437"/>
      <c r="T818" s="437"/>
      <c r="U818" s="437"/>
      <c r="V818" s="437"/>
      <c r="W818" s="437"/>
      <c r="X818" s="437"/>
      <c r="Y818" s="437"/>
      <c r="Z818" s="437"/>
      <c r="AA818" s="437"/>
      <c r="AB818" s="437"/>
      <c r="AC818" s="437"/>
      <c r="AD818" s="437"/>
      <c r="AE818" s="437"/>
      <c r="AF818" s="437"/>
      <c r="AG818" s="437"/>
      <c r="AH818" s="437"/>
      <c r="AI818" s="437"/>
      <c r="AJ818" s="437"/>
      <c r="AK818" s="437"/>
      <c r="AL818" s="437"/>
      <c r="AM818" s="437"/>
      <c r="AN818" s="437"/>
      <c r="AO818" s="437"/>
      <c r="AP818" s="437"/>
      <c r="AQ818" s="437"/>
      <c r="AR818" s="437"/>
      <c r="AS818" s="437"/>
      <c r="AT818" s="437"/>
      <c r="AU818" s="437"/>
      <c r="AV818" s="437"/>
      <c r="AW818" s="725"/>
      <c r="AX818" s="437"/>
      <c r="AY818" s="437"/>
      <c r="AZ818" s="437"/>
      <c r="BA818" s="437"/>
      <c r="BB818" s="437"/>
      <c r="BC818" s="437"/>
      <c r="BD818" s="437"/>
      <c r="BE818" s="437"/>
      <c r="BF818" s="437"/>
      <c r="BG818" s="437"/>
      <c r="BH818" s="368"/>
    </row>
    <row r="819" spans="1:60" s="107" customFormat="1" x14ac:dyDescent="0.25">
      <c r="A819" s="486" t="s">
        <v>319</v>
      </c>
      <c r="B819" s="689"/>
      <c r="C819" s="690"/>
      <c r="D819" s="690"/>
      <c r="E819" s="439"/>
      <c r="F819" s="439"/>
      <c r="G819" s="439"/>
      <c r="H819" s="439"/>
      <c r="I819" s="439"/>
      <c r="J819" s="439"/>
      <c r="K819" s="439"/>
      <c r="L819" s="439"/>
      <c r="M819" s="439"/>
      <c r="N819" s="439"/>
      <c r="O819" s="439"/>
      <c r="P819" s="439"/>
      <c r="Q819" s="439"/>
      <c r="R819" s="439"/>
      <c r="S819" s="439"/>
      <c r="T819" s="439"/>
      <c r="U819" s="439"/>
      <c r="V819" s="439"/>
      <c r="W819" s="439"/>
      <c r="X819" s="439"/>
      <c r="Y819" s="439"/>
      <c r="Z819" s="439"/>
      <c r="AA819" s="439"/>
      <c r="AB819" s="439"/>
      <c r="AC819" s="439"/>
      <c r="AD819" s="439"/>
      <c r="AE819" s="439"/>
      <c r="AF819" s="439"/>
      <c r="AG819" s="439"/>
      <c r="AH819" s="439"/>
      <c r="AI819" s="439"/>
      <c r="AJ819" s="439"/>
      <c r="AK819" s="439"/>
      <c r="AL819" s="439"/>
      <c r="AM819" s="439"/>
      <c r="AN819" s="439"/>
      <c r="AO819" s="439"/>
      <c r="AP819" s="439"/>
      <c r="AQ819" s="439"/>
      <c r="AR819" s="439"/>
      <c r="AS819" s="439"/>
      <c r="AT819" s="439"/>
      <c r="AU819" s="439"/>
      <c r="AV819" s="439"/>
      <c r="AW819" s="726"/>
      <c r="AX819" s="439"/>
      <c r="AY819" s="439"/>
      <c r="AZ819" s="439"/>
      <c r="BA819" s="439"/>
      <c r="BB819" s="439"/>
      <c r="BC819" s="439"/>
      <c r="BD819" s="439"/>
      <c r="BE819" s="439"/>
      <c r="BF819" s="439"/>
      <c r="BG819" s="439"/>
      <c r="BH819" s="361"/>
    </row>
    <row r="820" spans="1:60" s="107" customFormat="1" x14ac:dyDescent="0.25">
      <c r="A820" s="487" t="s">
        <v>320</v>
      </c>
      <c r="B820" s="689"/>
      <c r="C820" s="690"/>
      <c r="D820" s="690"/>
      <c r="E820" s="439"/>
      <c r="F820" s="439"/>
      <c r="G820" s="439"/>
      <c r="H820" s="439"/>
      <c r="I820" s="439"/>
      <c r="J820" s="439"/>
      <c r="K820" s="439"/>
      <c r="L820" s="439"/>
      <c r="M820" s="439"/>
      <c r="N820" s="439"/>
      <c r="O820" s="439"/>
      <c r="P820" s="439"/>
      <c r="Q820" s="439"/>
      <c r="R820" s="439"/>
      <c r="S820" s="439"/>
      <c r="T820" s="439"/>
      <c r="U820" s="439"/>
      <c r="V820" s="439"/>
      <c r="W820" s="439"/>
      <c r="X820" s="439"/>
      <c r="Y820" s="439"/>
      <c r="Z820" s="439"/>
      <c r="AA820" s="439"/>
      <c r="AB820" s="439"/>
      <c r="AC820" s="439"/>
      <c r="AD820" s="439"/>
      <c r="AE820" s="439"/>
      <c r="AF820" s="439"/>
      <c r="AG820" s="439"/>
      <c r="AH820" s="439"/>
      <c r="AI820" s="439"/>
      <c r="AJ820" s="439"/>
      <c r="AK820" s="439"/>
      <c r="AL820" s="439"/>
      <c r="AM820" s="439"/>
      <c r="AN820" s="439"/>
      <c r="AO820" s="439"/>
      <c r="AP820" s="439"/>
      <c r="AQ820" s="439"/>
      <c r="AR820" s="439"/>
      <c r="AS820" s="439"/>
      <c r="AT820" s="439"/>
      <c r="AU820" s="439"/>
      <c r="AV820" s="439"/>
      <c r="AW820" s="726"/>
      <c r="AX820" s="439"/>
      <c r="AY820" s="439"/>
      <c r="AZ820" s="439"/>
      <c r="BA820" s="439"/>
      <c r="BB820" s="439"/>
      <c r="BC820" s="439"/>
      <c r="BD820" s="439"/>
      <c r="BE820" s="439"/>
      <c r="BF820" s="439"/>
      <c r="BG820" s="439"/>
      <c r="BH820" s="361"/>
    </row>
    <row r="821" spans="1:60" s="107" customFormat="1" x14ac:dyDescent="0.25">
      <c r="A821" s="488" t="s">
        <v>321</v>
      </c>
      <c r="B821" s="689"/>
      <c r="C821" s="690"/>
      <c r="D821" s="690"/>
      <c r="E821" s="439"/>
      <c r="F821" s="439"/>
      <c r="G821" s="439"/>
      <c r="H821" s="439"/>
      <c r="I821" s="439"/>
      <c r="J821" s="439"/>
      <c r="K821" s="439"/>
      <c r="L821" s="439"/>
      <c r="M821" s="439"/>
      <c r="N821" s="439"/>
      <c r="O821" s="439"/>
      <c r="P821" s="439"/>
      <c r="Q821" s="439"/>
      <c r="R821" s="439"/>
      <c r="S821" s="439"/>
      <c r="T821" s="439"/>
      <c r="U821" s="439"/>
      <c r="V821" s="439"/>
      <c r="W821" s="439"/>
      <c r="X821" s="439"/>
      <c r="Y821" s="439"/>
      <c r="Z821" s="439"/>
      <c r="AA821" s="439"/>
      <c r="AB821" s="439"/>
      <c r="AC821" s="439"/>
      <c r="AD821" s="439"/>
      <c r="AE821" s="439"/>
      <c r="AF821" s="439"/>
      <c r="AG821" s="439"/>
      <c r="AH821" s="439"/>
      <c r="AI821" s="439"/>
      <c r="AJ821" s="439"/>
      <c r="AK821" s="439"/>
      <c r="AL821" s="439"/>
      <c r="AM821" s="439"/>
      <c r="AN821" s="439"/>
      <c r="AO821" s="439"/>
      <c r="AP821" s="439"/>
      <c r="AQ821" s="439"/>
      <c r="AR821" s="439"/>
      <c r="AS821" s="439"/>
      <c r="AT821" s="439"/>
      <c r="AU821" s="439"/>
      <c r="AV821" s="439"/>
      <c r="AW821" s="726"/>
      <c r="AX821" s="439"/>
      <c r="AY821" s="439"/>
      <c r="AZ821" s="439"/>
      <c r="BA821" s="439"/>
      <c r="BB821" s="439"/>
      <c r="BC821" s="439"/>
      <c r="BD821" s="439"/>
      <c r="BE821" s="439"/>
      <c r="BF821" s="439"/>
      <c r="BG821" s="439"/>
      <c r="BH821" s="361"/>
    </row>
    <row r="822" spans="1:60" s="107" customFormat="1" x14ac:dyDescent="0.25">
      <c r="A822" s="615" t="s">
        <v>322</v>
      </c>
      <c r="B822" s="689"/>
      <c r="C822" s="690"/>
      <c r="D822" s="690"/>
      <c r="E822" s="439"/>
      <c r="F822" s="439"/>
      <c r="G822" s="439"/>
      <c r="H822" s="439"/>
      <c r="I822" s="439"/>
      <c r="J822" s="439"/>
      <c r="K822" s="439"/>
      <c r="L822" s="439"/>
      <c r="M822" s="439"/>
      <c r="N822" s="439"/>
      <c r="O822" s="439"/>
      <c r="P822" s="439"/>
      <c r="Q822" s="439"/>
      <c r="R822" s="439"/>
      <c r="S822" s="439"/>
      <c r="T822" s="439"/>
      <c r="U822" s="439"/>
      <c r="V822" s="439"/>
      <c r="W822" s="439"/>
      <c r="X822" s="439"/>
      <c r="Y822" s="439"/>
      <c r="Z822" s="439"/>
      <c r="AA822" s="439"/>
      <c r="AB822" s="439"/>
      <c r="AC822" s="439"/>
      <c r="AD822" s="439"/>
      <c r="AE822" s="439"/>
      <c r="AF822" s="439"/>
      <c r="AG822" s="439"/>
      <c r="AH822" s="439"/>
      <c r="AI822" s="439"/>
      <c r="AJ822" s="439"/>
      <c r="AK822" s="439"/>
      <c r="AL822" s="439"/>
      <c r="AM822" s="439"/>
      <c r="AN822" s="439"/>
      <c r="AO822" s="439"/>
      <c r="AP822" s="439"/>
      <c r="AQ822" s="439"/>
      <c r="AR822" s="439"/>
      <c r="AS822" s="439"/>
      <c r="AT822" s="439"/>
      <c r="AU822" s="439"/>
      <c r="AV822" s="439"/>
      <c r="AW822" s="726"/>
      <c r="AX822" s="439"/>
      <c r="AY822" s="439"/>
      <c r="AZ822" s="439"/>
      <c r="BA822" s="439"/>
      <c r="BB822" s="439"/>
      <c r="BC822" s="439"/>
      <c r="BD822" s="439"/>
      <c r="BE822" s="439"/>
      <c r="BF822" s="439"/>
      <c r="BG822" s="439"/>
      <c r="BH822" s="361"/>
    </row>
    <row r="823" spans="1:60" s="107" customFormat="1" x14ac:dyDescent="0.25">
      <c r="A823" s="473"/>
      <c r="B823" s="562"/>
      <c r="C823" s="690"/>
      <c r="D823" s="690"/>
      <c r="E823" s="439"/>
      <c r="F823" s="439"/>
      <c r="G823" s="439"/>
      <c r="H823" s="439"/>
      <c r="I823" s="439"/>
      <c r="J823" s="439"/>
      <c r="K823" s="439"/>
      <c r="L823" s="439"/>
      <c r="M823" s="439"/>
      <c r="N823" s="439"/>
      <c r="O823" s="439"/>
      <c r="P823" s="439"/>
      <c r="Q823" s="439"/>
      <c r="R823" s="439"/>
      <c r="S823" s="439"/>
      <c r="T823" s="439"/>
      <c r="U823" s="439"/>
      <c r="V823" s="439"/>
      <c r="W823" s="439"/>
      <c r="X823" s="439"/>
      <c r="Y823" s="439"/>
      <c r="Z823" s="439"/>
      <c r="AA823" s="439"/>
      <c r="AB823" s="439"/>
      <c r="AC823" s="439"/>
      <c r="AD823" s="439"/>
      <c r="AE823" s="439"/>
      <c r="AF823" s="439"/>
      <c r="AG823" s="439"/>
      <c r="AH823" s="439"/>
      <c r="AI823" s="439"/>
      <c r="AJ823" s="439"/>
      <c r="AK823" s="439"/>
      <c r="AL823" s="439"/>
      <c r="AM823" s="439"/>
      <c r="AN823" s="439"/>
      <c r="AO823" s="439"/>
      <c r="AP823" s="439"/>
      <c r="AQ823" s="439"/>
      <c r="AR823" s="439"/>
      <c r="AS823" s="439"/>
      <c r="AT823" s="439"/>
      <c r="AU823" s="439"/>
      <c r="AV823" s="439"/>
      <c r="AW823" s="726"/>
      <c r="AX823" s="439"/>
      <c r="AY823" s="439"/>
      <c r="AZ823" s="439"/>
      <c r="BA823" s="439"/>
      <c r="BB823" s="439"/>
      <c r="BC823" s="439"/>
      <c r="BD823" s="439"/>
      <c r="BE823" s="439"/>
      <c r="BF823" s="439"/>
      <c r="BG823" s="439"/>
      <c r="BH823" s="361"/>
    </row>
    <row r="824" spans="1:60" s="104" customFormat="1" x14ac:dyDescent="0.25">
      <c r="A824" s="489" t="s">
        <v>323</v>
      </c>
      <c r="B824" s="717"/>
      <c r="C824" s="691"/>
      <c r="D824" s="691"/>
      <c r="E824" s="691"/>
      <c r="F824" s="691"/>
      <c r="G824" s="691"/>
      <c r="H824" s="691"/>
      <c r="I824" s="691"/>
      <c r="J824" s="691"/>
      <c r="K824" s="691"/>
      <c r="L824" s="691"/>
      <c r="M824" s="691"/>
      <c r="N824" s="691"/>
      <c r="O824" s="691"/>
      <c r="P824" s="691"/>
      <c r="Q824" s="691"/>
      <c r="R824" s="691"/>
      <c r="S824" s="691"/>
      <c r="T824" s="691"/>
      <c r="U824" s="691"/>
      <c r="V824" s="691"/>
      <c r="W824" s="691"/>
      <c r="X824" s="691"/>
      <c r="Y824" s="691"/>
      <c r="Z824" s="691"/>
      <c r="AA824" s="691"/>
      <c r="AB824" s="691"/>
      <c r="AC824" s="691"/>
      <c r="AD824" s="691"/>
      <c r="AE824" s="691"/>
      <c r="AF824" s="691"/>
      <c r="AG824" s="691"/>
      <c r="AH824" s="691"/>
      <c r="AI824" s="691"/>
      <c r="AJ824" s="691"/>
      <c r="AK824" s="691"/>
      <c r="AL824" s="691"/>
      <c r="AM824" s="691"/>
      <c r="AN824" s="691"/>
      <c r="AO824" s="691"/>
      <c r="AP824" s="691"/>
      <c r="AQ824" s="691"/>
      <c r="AR824" s="691"/>
      <c r="AS824" s="691"/>
      <c r="AT824" s="691"/>
      <c r="AU824" s="691"/>
      <c r="AV824" s="691"/>
      <c r="AW824" s="747"/>
      <c r="AX824" s="691"/>
      <c r="AY824" s="691"/>
      <c r="AZ824" s="691"/>
      <c r="BA824" s="691"/>
      <c r="BB824" s="691"/>
      <c r="BC824" s="691"/>
      <c r="BD824" s="691"/>
      <c r="BE824" s="691"/>
      <c r="BF824" s="691"/>
      <c r="BG824" s="691"/>
      <c r="BH824" s="357"/>
    </row>
    <row r="825" spans="1:60" s="107" customFormat="1" x14ac:dyDescent="0.25">
      <c r="A825" s="483" t="s">
        <v>324</v>
      </c>
      <c r="B825" s="718">
        <v>1</v>
      </c>
      <c r="C825" s="381"/>
      <c r="D825" s="690"/>
      <c r="E825" s="439"/>
      <c r="F825" s="439"/>
      <c r="G825" s="439"/>
      <c r="H825" s="439"/>
      <c r="I825" s="439"/>
      <c r="J825" s="439"/>
      <c r="K825" s="439"/>
      <c r="L825" s="439"/>
      <c r="M825" s="439"/>
      <c r="N825" s="439"/>
      <c r="O825" s="439"/>
      <c r="P825" s="439"/>
      <c r="Q825" s="439"/>
      <c r="R825" s="439"/>
      <c r="S825" s="439"/>
      <c r="T825" s="439"/>
      <c r="U825" s="439"/>
      <c r="V825" s="439"/>
      <c r="W825" s="439"/>
      <c r="X825" s="439"/>
      <c r="Y825" s="439"/>
      <c r="Z825" s="439"/>
      <c r="AA825" s="439"/>
      <c r="AB825" s="439"/>
      <c r="AC825" s="439"/>
      <c r="AD825" s="439"/>
      <c r="AE825" s="439"/>
      <c r="AF825" s="439"/>
      <c r="AG825" s="439"/>
      <c r="AH825" s="439"/>
      <c r="AI825" s="439"/>
      <c r="AJ825" s="439"/>
      <c r="AK825" s="439"/>
      <c r="AL825" s="439"/>
      <c r="AM825" s="439"/>
      <c r="AN825" s="439"/>
      <c r="AO825" s="439"/>
      <c r="AP825" s="439"/>
      <c r="AQ825" s="439"/>
      <c r="AR825" s="439"/>
      <c r="AS825" s="439"/>
      <c r="AT825" s="439"/>
      <c r="AU825" s="439"/>
      <c r="AV825" s="439"/>
      <c r="AW825" s="726"/>
      <c r="AX825" s="439"/>
      <c r="AY825" s="439"/>
      <c r="AZ825" s="439"/>
      <c r="BA825" s="439"/>
      <c r="BB825" s="439"/>
      <c r="BC825" s="439"/>
      <c r="BD825" s="439"/>
      <c r="BE825" s="439"/>
      <c r="BF825" s="439"/>
      <c r="BG825" s="439"/>
      <c r="BH825" s="361"/>
    </row>
    <row r="826" spans="1:60" s="107" customFormat="1" x14ac:dyDescent="0.25">
      <c r="A826" s="483" t="s">
        <v>325</v>
      </c>
      <c r="B826" s="718">
        <v>2</v>
      </c>
      <c r="C826" s="381"/>
      <c r="D826" s="690"/>
      <c r="E826" s="439"/>
      <c r="F826" s="439"/>
      <c r="G826" s="439"/>
      <c r="H826" s="439"/>
      <c r="I826" s="439"/>
      <c r="J826" s="439"/>
      <c r="K826" s="439"/>
      <c r="L826" s="439"/>
      <c r="M826" s="439"/>
      <c r="N826" s="439"/>
      <c r="O826" s="439"/>
      <c r="P826" s="439"/>
      <c r="Q826" s="439"/>
      <c r="R826" s="439"/>
      <c r="S826" s="439"/>
      <c r="T826" s="439"/>
      <c r="U826" s="439"/>
      <c r="V826" s="439"/>
      <c r="W826" s="439"/>
      <c r="X826" s="439"/>
      <c r="Y826" s="439"/>
      <c r="Z826" s="439"/>
      <c r="AA826" s="439"/>
      <c r="AB826" s="439"/>
      <c r="AC826" s="439"/>
      <c r="AD826" s="439"/>
      <c r="AE826" s="439"/>
      <c r="AF826" s="439"/>
      <c r="AG826" s="439"/>
      <c r="AH826" s="439"/>
      <c r="AI826" s="439"/>
      <c r="AJ826" s="439"/>
      <c r="AK826" s="439"/>
      <c r="AL826" s="439"/>
      <c r="AM826" s="439"/>
      <c r="AN826" s="439"/>
      <c r="AO826" s="439"/>
      <c r="AP826" s="439"/>
      <c r="AQ826" s="439"/>
      <c r="AR826" s="439"/>
      <c r="AS826" s="439"/>
      <c r="AT826" s="439"/>
      <c r="AU826" s="439"/>
      <c r="AV826" s="439"/>
      <c r="AW826" s="726"/>
      <c r="AX826" s="439"/>
      <c r="AY826" s="439"/>
      <c r="AZ826" s="439"/>
      <c r="BA826" s="439"/>
      <c r="BB826" s="439"/>
      <c r="BC826" s="439"/>
      <c r="BD826" s="439"/>
      <c r="BE826" s="439"/>
      <c r="BF826" s="439"/>
      <c r="BG826" s="439"/>
      <c r="BH826" s="361"/>
    </row>
    <row r="827" spans="1:60" s="107" customFormat="1" x14ac:dyDescent="0.25">
      <c r="A827" s="484" t="s">
        <v>165</v>
      </c>
      <c r="B827" s="719">
        <v>3</v>
      </c>
      <c r="C827" s="381"/>
      <c r="D827" s="690"/>
      <c r="E827" s="439"/>
      <c r="F827" s="439"/>
      <c r="G827" s="439"/>
      <c r="H827" s="439"/>
      <c r="I827" s="439"/>
      <c r="J827" s="439"/>
      <c r="K827" s="439"/>
      <c r="L827" s="439"/>
      <c r="M827" s="439"/>
      <c r="N827" s="439"/>
      <c r="O827" s="439"/>
      <c r="P827" s="439"/>
      <c r="Q827" s="439"/>
      <c r="R827" s="439"/>
      <c r="S827" s="439"/>
      <c r="T827" s="439"/>
      <c r="U827" s="439"/>
      <c r="V827" s="439"/>
      <c r="W827" s="439"/>
      <c r="X827" s="439"/>
      <c r="Y827" s="439"/>
      <c r="Z827" s="439"/>
      <c r="AA827" s="439"/>
      <c r="AB827" s="439"/>
      <c r="AC827" s="439"/>
      <c r="AD827" s="439"/>
      <c r="AE827" s="439"/>
      <c r="AF827" s="439"/>
      <c r="AG827" s="439"/>
      <c r="AH827" s="439"/>
      <c r="AI827" s="439"/>
      <c r="AJ827" s="439"/>
      <c r="AK827" s="439"/>
      <c r="AL827" s="439"/>
      <c r="AM827" s="439"/>
      <c r="AN827" s="439"/>
      <c r="AO827" s="439"/>
      <c r="AP827" s="439"/>
      <c r="AQ827" s="439"/>
      <c r="AR827" s="439"/>
      <c r="AS827" s="439"/>
      <c r="AT827" s="439"/>
      <c r="AU827" s="439"/>
      <c r="AV827" s="439"/>
      <c r="AW827" s="726"/>
      <c r="AX827" s="439"/>
      <c r="AY827" s="439"/>
      <c r="AZ827" s="439"/>
      <c r="BA827" s="439"/>
      <c r="BB827" s="439"/>
      <c r="BC827" s="439"/>
      <c r="BD827" s="439"/>
      <c r="BE827" s="439"/>
      <c r="BF827" s="439"/>
      <c r="BG827" s="439"/>
      <c r="BH827" s="361"/>
    </row>
    <row r="828" spans="1:60" s="107" customFormat="1" x14ac:dyDescent="0.25">
      <c r="A828" s="692"/>
      <c r="B828" s="693"/>
      <c r="C828" s="690"/>
      <c r="D828" s="690"/>
      <c r="E828" s="439"/>
      <c r="F828" s="439"/>
      <c r="G828" s="439"/>
      <c r="H828" s="439"/>
      <c r="I828" s="439"/>
      <c r="J828" s="439"/>
      <c r="K828" s="439"/>
      <c r="L828" s="439"/>
      <c r="M828" s="439"/>
      <c r="N828" s="439"/>
      <c r="O828" s="439"/>
      <c r="P828" s="439"/>
      <c r="Q828" s="439"/>
      <c r="R828" s="439"/>
      <c r="S828" s="439"/>
      <c r="T828" s="439"/>
      <c r="U828" s="439"/>
      <c r="V828" s="439"/>
      <c r="W828" s="439"/>
      <c r="X828" s="439"/>
      <c r="Y828" s="439"/>
      <c r="Z828" s="439"/>
      <c r="AA828" s="439"/>
      <c r="AB828" s="439"/>
      <c r="AC828" s="439"/>
      <c r="AD828" s="439"/>
      <c r="AE828" s="439"/>
      <c r="AF828" s="439"/>
      <c r="AG828" s="439"/>
      <c r="AH828" s="439"/>
      <c r="AI828" s="439"/>
      <c r="AJ828" s="439"/>
      <c r="AK828" s="439"/>
      <c r="AL828" s="439"/>
      <c r="AM828" s="439"/>
      <c r="AN828" s="439"/>
      <c r="AO828" s="439"/>
      <c r="AP828" s="439"/>
      <c r="AQ828" s="439"/>
      <c r="AR828" s="439"/>
      <c r="AS828" s="439"/>
      <c r="AT828" s="439"/>
      <c r="AU828" s="439"/>
      <c r="AV828" s="439"/>
      <c r="AW828" s="726"/>
      <c r="AX828" s="439"/>
      <c r="AY828" s="439"/>
      <c r="AZ828" s="439"/>
      <c r="BA828" s="439"/>
      <c r="BB828" s="439"/>
      <c r="BC828" s="439"/>
      <c r="BD828" s="439"/>
      <c r="BE828" s="439"/>
      <c r="BF828" s="439"/>
      <c r="BG828" s="439"/>
      <c r="BH828" s="361"/>
    </row>
    <row r="829" spans="1:60" s="107" customFormat="1" x14ac:dyDescent="0.25">
      <c r="A829" s="508" t="s">
        <v>494</v>
      </c>
      <c r="B829" s="439"/>
      <c r="C829" s="690"/>
      <c r="D829" s="690"/>
      <c r="E829" s="439"/>
      <c r="F829" s="439"/>
      <c r="G829" s="439"/>
      <c r="H829" s="439"/>
      <c r="I829" s="439"/>
      <c r="J829" s="439"/>
      <c r="K829" s="439"/>
      <c r="L829" s="439"/>
      <c r="M829" s="439"/>
      <c r="N829" s="439"/>
      <c r="O829" s="439"/>
      <c r="P829" s="439"/>
      <c r="Q829" s="439"/>
      <c r="R829" s="439"/>
      <c r="S829" s="439"/>
      <c r="T829" s="439"/>
      <c r="U829" s="439"/>
      <c r="V829" s="439"/>
      <c r="W829" s="439"/>
      <c r="X829" s="439"/>
      <c r="Y829" s="439"/>
      <c r="Z829" s="439"/>
      <c r="AA829" s="439"/>
      <c r="AB829" s="439"/>
      <c r="AC829" s="439"/>
      <c r="AD829" s="439"/>
      <c r="AE829" s="439"/>
      <c r="AF829" s="439"/>
      <c r="AG829" s="439"/>
      <c r="AH829" s="439"/>
      <c r="AI829" s="439"/>
      <c r="AJ829" s="439"/>
      <c r="AK829" s="439"/>
      <c r="AL829" s="439"/>
      <c r="AM829" s="439"/>
      <c r="AN829" s="439"/>
      <c r="AO829" s="439"/>
      <c r="AP829" s="439"/>
      <c r="AQ829" s="439"/>
      <c r="AR829" s="439"/>
      <c r="AS829" s="439"/>
      <c r="AT829" s="439"/>
      <c r="AU829" s="439"/>
      <c r="AV829" s="439"/>
      <c r="AW829" s="726"/>
      <c r="AX829" s="439"/>
      <c r="AY829" s="439"/>
      <c r="AZ829" s="439"/>
      <c r="BA829" s="439"/>
      <c r="BB829" s="439"/>
      <c r="BC829" s="439"/>
      <c r="BD829" s="439"/>
      <c r="BE829" s="439"/>
      <c r="BF829" s="439"/>
      <c r="BG829" s="439"/>
      <c r="BH829" s="361"/>
    </row>
    <row r="830" spans="1:60" s="107" customFormat="1" x14ac:dyDescent="0.25">
      <c r="A830" s="509" t="str">
        <f>MO_RIS_REV</f>
        <v>Net Revenue</v>
      </c>
      <c r="B830" s="439"/>
      <c r="C830" s="690"/>
      <c r="D830" s="690"/>
      <c r="E830" s="439"/>
      <c r="F830" s="439"/>
      <c r="G830" s="439"/>
      <c r="H830" s="439"/>
      <c r="I830" s="439"/>
      <c r="J830" s="439"/>
      <c r="K830" s="439"/>
      <c r="L830" s="439"/>
      <c r="M830" s="439"/>
      <c r="N830" s="439"/>
      <c r="O830" s="439"/>
      <c r="P830" s="439"/>
      <c r="Q830" s="439"/>
      <c r="R830" s="439"/>
      <c r="S830" s="439"/>
      <c r="T830" s="439"/>
      <c r="U830" s="439"/>
      <c r="V830" s="439"/>
      <c r="W830" s="439"/>
      <c r="X830" s="439"/>
      <c r="Y830" s="439"/>
      <c r="Z830" s="439"/>
      <c r="AA830" s="439"/>
      <c r="AB830" s="439"/>
      <c r="AC830" s="439"/>
      <c r="AD830" s="439"/>
      <c r="AE830" s="439"/>
      <c r="AF830" s="439"/>
      <c r="AG830" s="439"/>
      <c r="AH830" s="439"/>
      <c r="AI830" s="439"/>
      <c r="AJ830" s="439"/>
      <c r="AK830" s="439"/>
      <c r="AL830" s="439"/>
      <c r="AM830" s="439"/>
      <c r="AN830" s="439"/>
      <c r="AO830" s="439"/>
      <c r="AP830" s="439"/>
      <c r="AQ830" s="439"/>
      <c r="AR830" s="439"/>
      <c r="AS830" s="439"/>
      <c r="AT830" s="439"/>
      <c r="AU830" s="439"/>
      <c r="AV830" s="439"/>
      <c r="AW830" s="726"/>
      <c r="AX830" s="439"/>
      <c r="AY830" s="439"/>
      <c r="AZ830" s="439"/>
      <c r="BA830" s="439"/>
      <c r="BB830" s="439"/>
      <c r="BC830" s="439"/>
      <c r="BD830" s="439"/>
      <c r="BE830" s="439"/>
      <c r="BF830" s="439"/>
      <c r="BG830" s="439"/>
      <c r="BH830" s="361"/>
    </row>
    <row r="831" spans="1:60" s="107" customFormat="1" x14ac:dyDescent="0.25">
      <c r="A831" s="509" t="str">
        <f>MO_RIS_EBITDA_Adj</f>
        <v>Adjusted EBITDA (No Adjustments)</v>
      </c>
      <c r="B831" s="439"/>
      <c r="C831" s="690"/>
      <c r="D831" s="690"/>
      <c r="E831" s="439"/>
      <c r="F831" s="439"/>
      <c r="G831" s="439"/>
      <c r="H831" s="439"/>
      <c r="I831" s="439"/>
      <c r="J831" s="439"/>
      <c r="K831" s="439"/>
      <c r="L831" s="439"/>
      <c r="M831" s="439"/>
      <c r="N831" s="439"/>
      <c r="O831" s="439"/>
      <c r="P831" s="439"/>
      <c r="Q831" s="439"/>
      <c r="R831" s="439"/>
      <c r="S831" s="439"/>
      <c r="T831" s="439"/>
      <c r="U831" s="439"/>
      <c r="V831" s="439"/>
      <c r="W831" s="439"/>
      <c r="X831" s="439"/>
      <c r="Y831" s="439"/>
      <c r="Z831" s="439"/>
      <c r="AA831" s="439"/>
      <c r="AB831" s="439"/>
      <c r="AC831" s="439"/>
      <c r="AD831" s="439"/>
      <c r="AE831" s="439"/>
      <c r="AF831" s="439"/>
      <c r="AG831" s="439"/>
      <c r="AH831" s="439"/>
      <c r="AI831" s="439"/>
      <c r="AJ831" s="439"/>
      <c r="AK831" s="439"/>
      <c r="AL831" s="439"/>
      <c r="AM831" s="439"/>
      <c r="AN831" s="439"/>
      <c r="AO831" s="439"/>
      <c r="AP831" s="439"/>
      <c r="AQ831" s="439"/>
      <c r="AR831" s="439"/>
      <c r="AS831" s="439"/>
      <c r="AT831" s="439"/>
      <c r="AU831" s="439"/>
      <c r="AV831" s="439"/>
      <c r="AW831" s="726"/>
      <c r="AX831" s="439"/>
      <c r="AY831" s="439"/>
      <c r="AZ831" s="439"/>
      <c r="BA831" s="439"/>
      <c r="BB831" s="439"/>
      <c r="BC831" s="439"/>
      <c r="BD831" s="439"/>
      <c r="BE831" s="439"/>
      <c r="BF831" s="439"/>
      <c r="BG831" s="439"/>
      <c r="BH831" s="361"/>
    </row>
    <row r="832" spans="1:60" s="241" customFormat="1" x14ac:dyDescent="0.25">
      <c r="A832" s="509" t="str">
        <f>MO_RIS_EBIT_Adj</f>
        <v>Adjusted EBIT (No Adjustments)</v>
      </c>
      <c r="B832" s="439"/>
      <c r="C832" s="690"/>
      <c r="D832" s="690"/>
      <c r="E832" s="439"/>
      <c r="F832" s="439"/>
      <c r="G832" s="439"/>
      <c r="H832" s="439"/>
      <c r="I832" s="439"/>
      <c r="J832" s="439"/>
      <c r="K832" s="439"/>
      <c r="L832" s="439"/>
      <c r="M832" s="439"/>
      <c r="N832" s="439"/>
      <c r="O832" s="439"/>
      <c r="P832" s="439"/>
      <c r="Q832" s="439"/>
      <c r="R832" s="439"/>
      <c r="S832" s="439"/>
      <c r="T832" s="439"/>
      <c r="U832" s="439"/>
      <c r="V832" s="439"/>
      <c r="W832" s="439"/>
      <c r="X832" s="439"/>
      <c r="Y832" s="439"/>
      <c r="Z832" s="439"/>
      <c r="AA832" s="439"/>
      <c r="AB832" s="439"/>
      <c r="AC832" s="439"/>
      <c r="AD832" s="439"/>
      <c r="AE832" s="439"/>
      <c r="AF832" s="439"/>
      <c r="AG832" s="439"/>
      <c r="AH832" s="439"/>
      <c r="AI832" s="439"/>
      <c r="AJ832" s="439"/>
      <c r="AK832" s="439"/>
      <c r="AL832" s="439"/>
      <c r="AM832" s="439"/>
      <c r="AN832" s="439"/>
      <c r="AO832" s="439"/>
      <c r="AP832" s="439"/>
      <c r="AQ832" s="439"/>
      <c r="AR832" s="439"/>
      <c r="AS832" s="439"/>
      <c r="AT832" s="439"/>
      <c r="AU832" s="439"/>
      <c r="AV832" s="439"/>
      <c r="AW832" s="726"/>
      <c r="AX832" s="439"/>
      <c r="AY832" s="439"/>
      <c r="AZ832" s="439"/>
      <c r="BA832" s="439"/>
      <c r="BB832" s="439"/>
      <c r="BC832" s="439"/>
      <c r="BD832" s="439"/>
      <c r="BE832" s="439"/>
      <c r="BF832" s="439"/>
      <c r="BG832" s="439"/>
      <c r="BH832" s="361"/>
    </row>
    <row r="833" spans="1:60" s="107" customFormat="1" x14ac:dyDescent="0.25">
      <c r="A833" s="509" t="str">
        <f>MO_RIS_EPS_WAD_Adj</f>
        <v>Adjusted Earnings Per Share - WAD</v>
      </c>
      <c r="B833" s="439"/>
      <c r="C833" s="690"/>
      <c r="D833" s="690"/>
      <c r="E833" s="439"/>
      <c r="F833" s="439"/>
      <c r="G833" s="439"/>
      <c r="H833" s="439"/>
      <c r="I833" s="439"/>
      <c r="J833" s="439"/>
      <c r="K833" s="439"/>
      <c r="L833" s="439"/>
      <c r="M833" s="439"/>
      <c r="N833" s="439"/>
      <c r="O833" s="439"/>
      <c r="P833" s="439"/>
      <c r="Q833" s="439"/>
      <c r="R833" s="439"/>
      <c r="S833" s="439"/>
      <c r="T833" s="439"/>
      <c r="U833" s="439"/>
      <c r="V833" s="439"/>
      <c r="W833" s="439"/>
      <c r="X833" s="439"/>
      <c r="Y833" s="439"/>
      <c r="Z833" s="439"/>
      <c r="AA833" s="439"/>
      <c r="AB833" s="439"/>
      <c r="AC833" s="439"/>
      <c r="AD833" s="439"/>
      <c r="AE833" s="439"/>
      <c r="AF833" s="439"/>
      <c r="AG833" s="439"/>
      <c r="AH833" s="439"/>
      <c r="AI833" s="439"/>
      <c r="AJ833" s="439"/>
      <c r="AK833" s="439"/>
      <c r="AL833" s="439"/>
      <c r="AM833" s="439"/>
      <c r="AN833" s="439"/>
      <c r="AO833" s="439"/>
      <c r="AP833" s="439"/>
      <c r="AQ833" s="439"/>
      <c r="AR833" s="439"/>
      <c r="AS833" s="439"/>
      <c r="AT833" s="439"/>
      <c r="AU833" s="439"/>
      <c r="AV833" s="439"/>
      <c r="AW833" s="726"/>
      <c r="AX833" s="439"/>
      <c r="AY833" s="439"/>
      <c r="AZ833" s="439"/>
      <c r="BA833" s="439"/>
      <c r="BB833" s="439"/>
      <c r="BC833" s="439"/>
      <c r="BD833" s="439"/>
      <c r="BE833" s="439"/>
      <c r="BF833" s="439"/>
      <c r="BG833" s="439"/>
      <c r="BH833" s="361"/>
    </row>
    <row r="834" spans="1:60" s="107" customFormat="1" x14ac:dyDescent="0.25">
      <c r="A834" s="509" t="str">
        <f>MO_VA_EV_ToEBITDA</f>
        <v>EV/EBITDA - Avg</v>
      </c>
      <c r="B834" s="439"/>
      <c r="C834" s="690"/>
      <c r="D834" s="690"/>
      <c r="E834" s="439"/>
      <c r="F834" s="439"/>
      <c r="G834" s="439"/>
      <c r="H834" s="439"/>
      <c r="I834" s="439"/>
      <c r="J834" s="439"/>
      <c r="K834" s="439"/>
      <c r="L834" s="439"/>
      <c r="M834" s="439"/>
      <c r="N834" s="439"/>
      <c r="O834" s="439"/>
      <c r="P834" s="439"/>
      <c r="Q834" s="439"/>
      <c r="R834" s="439"/>
      <c r="S834" s="439"/>
      <c r="T834" s="439"/>
      <c r="U834" s="439"/>
      <c r="V834" s="439"/>
      <c r="W834" s="439"/>
      <c r="X834" s="439"/>
      <c r="Y834" s="439"/>
      <c r="Z834" s="439"/>
      <c r="AA834" s="439"/>
      <c r="AB834" s="439"/>
      <c r="AC834" s="439"/>
      <c r="AD834" s="439"/>
      <c r="AE834" s="439"/>
      <c r="AF834" s="439"/>
      <c r="AG834" s="439"/>
      <c r="AH834" s="439"/>
      <c r="AI834" s="439"/>
      <c r="AJ834" s="439"/>
      <c r="AK834" s="439"/>
      <c r="AL834" s="439"/>
      <c r="AM834" s="439"/>
      <c r="AN834" s="439"/>
      <c r="AO834" s="439"/>
      <c r="AP834" s="439"/>
      <c r="AQ834" s="439"/>
      <c r="AR834" s="439"/>
      <c r="AS834" s="439"/>
      <c r="AT834" s="439"/>
      <c r="AU834" s="439"/>
      <c r="AV834" s="439"/>
      <c r="AW834" s="726"/>
      <c r="AX834" s="439"/>
      <c r="AY834" s="439"/>
      <c r="AZ834" s="439"/>
      <c r="BA834" s="439"/>
      <c r="BB834" s="439"/>
      <c r="BC834" s="439"/>
      <c r="BD834" s="439"/>
      <c r="BE834" s="439"/>
      <c r="BF834" s="439"/>
      <c r="BG834" s="439"/>
      <c r="BH834" s="361"/>
    </row>
    <row r="835" spans="1:60" s="107" customFormat="1" x14ac:dyDescent="0.25">
      <c r="A835" s="509" t="str">
        <f>MO_VA_P_ToE</f>
        <v>P/E - Avg</v>
      </c>
      <c r="B835" s="439"/>
      <c r="C835" s="690"/>
      <c r="D835" s="690"/>
      <c r="E835" s="439"/>
      <c r="F835" s="439"/>
      <c r="G835" s="439"/>
      <c r="H835" s="439"/>
      <c r="I835" s="439"/>
      <c r="J835" s="439"/>
      <c r="K835" s="439"/>
      <c r="L835" s="439"/>
      <c r="M835" s="439"/>
      <c r="N835" s="439"/>
      <c r="O835" s="439"/>
      <c r="P835" s="439"/>
      <c r="Q835" s="439"/>
      <c r="R835" s="439"/>
      <c r="S835" s="439"/>
      <c r="T835" s="439"/>
      <c r="U835" s="439"/>
      <c r="V835" s="439"/>
      <c r="W835" s="439"/>
      <c r="X835" s="439"/>
      <c r="Y835" s="439"/>
      <c r="Z835" s="439"/>
      <c r="AA835" s="439"/>
      <c r="AB835" s="439"/>
      <c r="AC835" s="439"/>
      <c r="AD835" s="439"/>
      <c r="AE835" s="439"/>
      <c r="AF835" s="439"/>
      <c r="AG835" s="439"/>
      <c r="AH835" s="439"/>
      <c r="AI835" s="439"/>
      <c r="AJ835" s="439"/>
      <c r="AK835" s="439"/>
      <c r="AL835" s="439"/>
      <c r="AM835" s="439"/>
      <c r="AN835" s="439"/>
      <c r="AO835" s="439"/>
      <c r="AP835" s="439"/>
      <c r="AQ835" s="439"/>
      <c r="AR835" s="439"/>
      <c r="AS835" s="439"/>
      <c r="AT835" s="439"/>
      <c r="AU835" s="439"/>
      <c r="AV835" s="439"/>
      <c r="AW835" s="726"/>
      <c r="AX835" s="439"/>
      <c r="AY835" s="439"/>
      <c r="AZ835" s="439"/>
      <c r="BA835" s="439"/>
      <c r="BB835" s="439"/>
      <c r="BC835" s="439"/>
      <c r="BD835" s="439"/>
      <c r="BE835" s="439"/>
      <c r="BF835" s="439"/>
      <c r="BG835" s="439"/>
      <c r="BH835" s="361"/>
    </row>
    <row r="836" spans="1:60" s="107" customFormat="1" x14ac:dyDescent="0.25">
      <c r="A836" s="694"/>
      <c r="B836" s="439"/>
      <c r="C836" s="690"/>
      <c r="D836" s="690"/>
      <c r="E836" s="439"/>
      <c r="F836" s="439"/>
      <c r="G836" s="439"/>
      <c r="H836" s="439"/>
      <c r="I836" s="439"/>
      <c r="J836" s="439"/>
      <c r="K836" s="439"/>
      <c r="L836" s="439"/>
      <c r="M836" s="439"/>
      <c r="N836" s="439"/>
      <c r="O836" s="439"/>
      <c r="P836" s="439"/>
      <c r="Q836" s="439"/>
      <c r="R836" s="439"/>
      <c r="S836" s="439"/>
      <c r="T836" s="439"/>
      <c r="U836" s="439"/>
      <c r="V836" s="439"/>
      <c r="W836" s="439"/>
      <c r="X836" s="439"/>
      <c r="Y836" s="439"/>
      <c r="Z836" s="439"/>
      <c r="AA836" s="439"/>
      <c r="AB836" s="439"/>
      <c r="AC836" s="439"/>
      <c r="AD836" s="439"/>
      <c r="AE836" s="439"/>
      <c r="AF836" s="439"/>
      <c r="AG836" s="439"/>
      <c r="AH836" s="439"/>
      <c r="AI836" s="439"/>
      <c r="AJ836" s="439"/>
      <c r="AK836" s="439"/>
      <c r="AL836" s="439"/>
      <c r="AM836" s="439"/>
      <c r="AN836" s="439"/>
      <c r="AO836" s="439"/>
      <c r="AP836" s="439"/>
      <c r="AQ836" s="439"/>
      <c r="AR836" s="439"/>
      <c r="AS836" s="439"/>
      <c r="AT836" s="439"/>
      <c r="AU836" s="439"/>
      <c r="AV836" s="439"/>
      <c r="AW836" s="726"/>
      <c r="AX836" s="439"/>
      <c r="AY836" s="439"/>
      <c r="AZ836" s="439"/>
      <c r="BA836" s="439"/>
      <c r="BB836" s="439"/>
      <c r="BC836" s="439"/>
      <c r="BD836" s="439"/>
      <c r="BE836" s="439"/>
      <c r="BF836" s="439"/>
      <c r="BG836" s="439"/>
      <c r="BH836" s="361"/>
    </row>
    <row r="837" spans="1:60" s="107" customFormat="1" x14ac:dyDescent="0.25">
      <c r="A837" s="686"/>
      <c r="B837" s="562"/>
      <c r="C837" s="695"/>
      <c r="D837" s="695"/>
      <c r="E837" s="562"/>
      <c r="F837" s="562"/>
      <c r="G837" s="562"/>
      <c r="H837" s="562"/>
      <c r="I837" s="562"/>
      <c r="J837" s="562"/>
      <c r="K837" s="562"/>
      <c r="L837" s="562"/>
      <c r="M837" s="562"/>
      <c r="N837" s="562"/>
      <c r="O837" s="562"/>
      <c r="P837" s="562"/>
      <c r="Q837" s="562"/>
      <c r="R837" s="562"/>
      <c r="S837" s="562"/>
      <c r="T837" s="562"/>
      <c r="U837" s="562"/>
      <c r="V837" s="562"/>
      <c r="W837" s="562"/>
      <c r="X837" s="562"/>
      <c r="Y837" s="562"/>
      <c r="Z837" s="562"/>
      <c r="AA837" s="562"/>
      <c r="AB837" s="562"/>
      <c r="AC837" s="562"/>
      <c r="AD837" s="562"/>
      <c r="AE837" s="562"/>
      <c r="AF837" s="562"/>
      <c r="AG837" s="562"/>
      <c r="AH837" s="562"/>
      <c r="AI837" s="562"/>
      <c r="AJ837" s="562"/>
      <c r="AK837" s="562"/>
      <c r="AL837" s="562"/>
      <c r="AM837" s="562"/>
      <c r="AN837" s="562"/>
      <c r="AO837" s="562"/>
      <c r="AP837" s="562"/>
      <c r="AQ837" s="562"/>
      <c r="AR837" s="562"/>
      <c r="AS837" s="562"/>
      <c r="AT837" s="562"/>
      <c r="AU837" s="562"/>
      <c r="AV837" s="562"/>
      <c r="AW837" s="748"/>
      <c r="AX837" s="562"/>
      <c r="AY837" s="562"/>
      <c r="AZ837" s="562"/>
      <c r="BA837" s="562"/>
      <c r="BB837" s="562"/>
      <c r="BC837" s="562"/>
      <c r="BD837" s="562"/>
      <c r="BE837" s="562"/>
      <c r="BF837" s="562"/>
      <c r="BG837" s="562"/>
      <c r="BH837" s="361"/>
    </row>
    <row r="838" spans="1:60" s="104" customFormat="1" x14ac:dyDescent="0.25">
      <c r="A838" s="1074" t="s">
        <v>326</v>
      </c>
      <c r="B838" s="1075"/>
      <c r="C838" s="1075"/>
      <c r="D838" s="1075"/>
      <c r="E838" s="1075"/>
      <c r="F838" s="1075"/>
      <c r="G838" s="1075"/>
      <c r="H838" s="1075"/>
      <c r="I838" s="1075"/>
      <c r="J838" s="1075"/>
      <c r="K838" s="1075"/>
      <c r="L838" s="1075"/>
      <c r="M838" s="1075"/>
      <c r="N838" s="1075"/>
      <c r="O838" s="1075"/>
      <c r="P838" s="1075"/>
      <c r="Q838" s="1075"/>
      <c r="R838" s="1075"/>
      <c r="S838" s="1075"/>
      <c r="T838" s="1075"/>
      <c r="U838" s="1075"/>
      <c r="V838" s="1075"/>
      <c r="W838" s="1075"/>
      <c r="X838" s="1075"/>
      <c r="Y838" s="1075"/>
      <c r="Z838" s="1075"/>
      <c r="AA838" s="1075"/>
      <c r="AB838" s="1075"/>
      <c r="AC838" s="1075"/>
      <c r="AD838" s="1075"/>
      <c r="AE838" s="1075"/>
      <c r="AF838" s="1075"/>
      <c r="AG838" s="1075"/>
      <c r="AH838" s="1075"/>
      <c r="AI838" s="1075"/>
      <c r="AJ838" s="1075"/>
      <c r="AK838" s="1075"/>
      <c r="AL838" s="1075"/>
      <c r="AM838" s="1075"/>
      <c r="AN838" s="1075"/>
      <c r="AO838" s="1075"/>
      <c r="AP838" s="1075"/>
      <c r="AQ838" s="1075"/>
      <c r="AR838" s="1075"/>
      <c r="AS838" s="1075"/>
      <c r="AT838" s="1075"/>
      <c r="AU838" s="1075"/>
      <c r="AV838" s="1075"/>
      <c r="AW838" s="1076"/>
      <c r="AX838" s="1075" t="str">
        <f t="shared" ref="AX838:BG838" si="912">AX5</f>
        <v>Q4-2021</v>
      </c>
      <c r="AY838" s="1075" t="str">
        <f t="shared" si="912"/>
        <v>FY2021</v>
      </c>
      <c r="AZ838" s="1075" t="str">
        <f t="shared" si="912"/>
        <v>Q1-2022</v>
      </c>
      <c r="BA838" s="1075" t="str">
        <f t="shared" si="912"/>
        <v>Q2-2022</v>
      </c>
      <c r="BB838" s="1075" t="str">
        <f t="shared" si="912"/>
        <v>Q3-2022</v>
      </c>
      <c r="BC838" s="1075" t="str">
        <f t="shared" si="912"/>
        <v>Q4-2022</v>
      </c>
      <c r="BD838" s="1075" t="str">
        <f t="shared" si="912"/>
        <v>FY2022</v>
      </c>
      <c r="BE838" s="1075" t="str">
        <f t="shared" si="912"/>
        <v>FY2023</v>
      </c>
      <c r="BF838" s="1075" t="str">
        <f t="shared" si="912"/>
        <v>FY2024</v>
      </c>
      <c r="BG838" s="1077" t="str">
        <f t="shared" si="912"/>
        <v>FY2025</v>
      </c>
      <c r="BH838" s="471"/>
    </row>
    <row r="839" spans="1:60" s="104" customFormat="1" x14ac:dyDescent="0.25">
      <c r="A839" s="1078" t="s">
        <v>327</v>
      </c>
      <c r="B839" s="1046"/>
      <c r="C839" s="1046"/>
      <c r="D839" s="1046"/>
      <c r="E839" s="1046"/>
      <c r="F839" s="1046"/>
      <c r="G839" s="1046"/>
      <c r="H839" s="1046"/>
      <c r="I839" s="1046"/>
      <c r="J839" s="1046"/>
      <c r="K839" s="1046"/>
      <c r="L839" s="1046"/>
      <c r="M839" s="1046"/>
      <c r="N839" s="1046"/>
      <c r="O839" s="1046"/>
      <c r="P839" s="1046"/>
      <c r="Q839" s="1046"/>
      <c r="R839" s="1046"/>
      <c r="S839" s="1046"/>
      <c r="T839" s="1046"/>
      <c r="U839" s="1046"/>
      <c r="V839" s="1046"/>
      <c r="W839" s="1046"/>
      <c r="X839" s="1046"/>
      <c r="Y839" s="1046"/>
      <c r="Z839" s="1046"/>
      <c r="AA839" s="1046"/>
      <c r="AB839" s="1046"/>
      <c r="AC839" s="1046"/>
      <c r="AD839" s="1046"/>
      <c r="AE839" s="1046"/>
      <c r="AF839" s="1046"/>
      <c r="AG839" s="1046"/>
      <c r="AH839" s="1046"/>
      <c r="AI839" s="1046"/>
      <c r="AJ839" s="1046"/>
      <c r="AK839" s="1046"/>
      <c r="AL839" s="1046"/>
      <c r="AM839" s="1046"/>
      <c r="AN839" s="1046"/>
      <c r="AO839" s="1046"/>
      <c r="AP839" s="1046"/>
      <c r="AQ839" s="1046"/>
      <c r="AR839" s="1046"/>
      <c r="AS839" s="1046"/>
      <c r="AT839" s="1046"/>
      <c r="AU839" s="1046"/>
      <c r="AV839" s="1046"/>
      <c r="AW839" s="1047"/>
      <c r="AX839" s="1046" t="str">
        <f>IF(MO.DataSourceIndex=3,IF(LEFT(AX838,2)="FY","ANNUAL",IF(LEFT(AX838,1)="Q","QUARTERLY","")),IF(LEFT(AX838,2)="FY","FY",IF(LEFT(AX838,1)="Q","FQ","")))</f>
        <v>FQ</v>
      </c>
      <c r="AY839" s="1046" t="str">
        <f>IF(MO.DataSourceIndex=3,IF(LEFT(AY838,2)="FY","ANNUAL",IF(LEFT(AY838,1)="Q","QUARTERLY","")),IF(LEFT(AY838,2)="FY","FY",IF(LEFT(AY838,1)="Q","FQ","")))</f>
        <v>FY</v>
      </c>
      <c r="AZ839" s="1046" t="str">
        <f t="shared" ref="AZ839:BG839" si="913">IF(MO.DataSourceIndex=3,IF(LEFT(AZ838,2)="FY","ANNUAL",IF(LEFT(AZ838,1)="Q","QUARTERLY","")),IF(LEFT(AZ838,2)="FY","FY",IF(LEFT(AZ838,1)="Q","FQ","")))</f>
        <v>FQ</v>
      </c>
      <c r="BA839" s="1046" t="str">
        <f t="shared" si="913"/>
        <v>FQ</v>
      </c>
      <c r="BB839" s="1046" t="str">
        <f t="shared" si="913"/>
        <v>FQ</v>
      </c>
      <c r="BC839" s="1046" t="str">
        <f t="shared" si="913"/>
        <v>FQ</v>
      </c>
      <c r="BD839" s="1046" t="str">
        <f t="shared" si="913"/>
        <v>FY</v>
      </c>
      <c r="BE839" s="1046" t="str">
        <f t="shared" si="913"/>
        <v>FY</v>
      </c>
      <c r="BF839" s="1046" t="str">
        <f t="shared" si="913"/>
        <v>FY</v>
      </c>
      <c r="BG839" s="1079" t="str">
        <f t="shared" si="913"/>
        <v>FY</v>
      </c>
      <c r="BH839" s="471"/>
    </row>
    <row r="840" spans="1:60" s="104" customFormat="1" x14ac:dyDescent="0.25">
      <c r="A840" s="1078" t="s">
        <v>328</v>
      </c>
      <c r="B840" s="1046"/>
      <c r="C840" s="1046"/>
      <c r="D840" s="1046"/>
      <c r="E840" s="1046"/>
      <c r="F840" s="1046"/>
      <c r="G840" s="1046"/>
      <c r="H840" s="1046"/>
      <c r="I840" s="1046"/>
      <c r="J840" s="1046"/>
      <c r="K840" s="1046"/>
      <c r="L840" s="1046"/>
      <c r="M840" s="1046"/>
      <c r="N840" s="1046"/>
      <c r="O840" s="1046"/>
      <c r="P840" s="1046"/>
      <c r="Q840" s="1046"/>
      <c r="R840" s="1046"/>
      <c r="S840" s="1046"/>
      <c r="T840" s="1046"/>
      <c r="U840" s="1046"/>
      <c r="V840" s="1046"/>
      <c r="W840" s="1046"/>
      <c r="X840" s="1046"/>
      <c r="Y840" s="1046"/>
      <c r="Z840" s="1046"/>
      <c r="AA840" s="1046"/>
      <c r="AB840" s="1046"/>
      <c r="AC840" s="1046"/>
      <c r="AD840" s="1046"/>
      <c r="AE840" s="1046"/>
      <c r="AF840" s="1046"/>
      <c r="AG840" s="1046"/>
      <c r="AH840" s="1046"/>
      <c r="AI840" s="1046"/>
      <c r="AJ840" s="1046"/>
      <c r="AK840" s="1046"/>
      <c r="AL840" s="1046"/>
      <c r="AM840" s="1046"/>
      <c r="AN840" s="1046"/>
      <c r="AO840" s="1046"/>
      <c r="AP840" s="1046"/>
      <c r="AQ840" s="1046"/>
      <c r="AR840" s="1046"/>
      <c r="AS840" s="1046"/>
      <c r="AT840" s="1046"/>
      <c r="AU840" s="1046"/>
      <c r="AV840" s="1046"/>
      <c r="AW840" s="1047"/>
      <c r="AX840" s="1046">
        <f ca="1">IF(MO.DataSourceIndex=3,IF(INDEX(MO_SNA_ConsensusEstimatePeriodType,,COLUMN())="ANNUAL",COUNTIF(OFFSET(INDEX(MO_SNA_ConsensusEstimatePeriodType,,1),,,,COLUMN()),"ANNUAL"),IF(INDEX(MO_SNA_ConsensusEstimatePeriodType,,COLUMN())="QUARTERLY",COUNTIF(OFFSET(INDEX(MO_SNA_ConsensusEstimatePeriodType,,1),,,,COLUMN()),"QUARTERLY"),"")),IF(INDEX(MO_SNA_ConsensusEstimatePeriodType,,COLUMN())="FY",COUNTIF(OFFSET(INDEX(MO_SNA_ConsensusEstimatePeriodType,,1),,,,COLUMN()),"FY"),IF(INDEX(MO_SNA_ConsensusEstimatePeriodType,,COLUMN())="FQ",COUNTIF(OFFSET(INDEX(MO_SNA_ConsensusEstimatePeriodType,,1),,,,COLUMN()),"FQ"),"")))</f>
        <v>1</v>
      </c>
      <c r="AY840" s="1046">
        <f ca="1">IF(MO.DataSourceIndex=3,IF(INDEX(MO_SNA_ConsensusEstimatePeriodType,,COLUMN())="ANNUAL",COUNTIF(OFFSET(INDEX(MO_SNA_ConsensusEstimatePeriodType,,1),,,,COLUMN()),"ANNUAL"),IF(INDEX(MO_SNA_ConsensusEstimatePeriodType,,COLUMN())="QUARTERLY",COUNTIF(OFFSET(INDEX(MO_SNA_ConsensusEstimatePeriodType,,1),,,,COLUMN()),"QUARTERLY"),"")),IF(INDEX(MO_SNA_ConsensusEstimatePeriodType,,COLUMN())="FY",COUNTIF(OFFSET(INDEX(MO_SNA_ConsensusEstimatePeriodType,,1),,,,COLUMN()),"FY"),IF(INDEX(MO_SNA_ConsensusEstimatePeriodType,,COLUMN())="FQ",COUNTIF(OFFSET(INDEX(MO_SNA_ConsensusEstimatePeriodType,,1),,,,COLUMN()),"FQ"),"")))</f>
        <v>1</v>
      </c>
      <c r="AZ840" s="1046">
        <f t="shared" ref="AZ840:BG840" ca="1" si="914">IF(MO.DataSourceIndex=3,IF(INDEX(MO_SNA_ConsensusEstimatePeriodType,,COLUMN())="ANNUAL",COUNTIF(OFFSET(INDEX(MO_SNA_ConsensusEstimatePeriodType,,1),,,,COLUMN()),"ANNUAL"),IF(INDEX(MO_SNA_ConsensusEstimatePeriodType,,COLUMN())="QUARTERLY",COUNTIF(OFFSET(INDEX(MO_SNA_ConsensusEstimatePeriodType,,1),,,,COLUMN()),"QUARTERLY"),"")),IF(INDEX(MO_SNA_ConsensusEstimatePeriodType,,COLUMN())="FY",COUNTIF(OFFSET(INDEX(MO_SNA_ConsensusEstimatePeriodType,,1),,,,COLUMN()),"FY"),IF(INDEX(MO_SNA_ConsensusEstimatePeriodType,,COLUMN())="FQ",COUNTIF(OFFSET(INDEX(MO_SNA_ConsensusEstimatePeriodType,,1),,,,COLUMN()),"FQ"),"")))</f>
        <v>2</v>
      </c>
      <c r="BA840" s="1046">
        <f t="shared" ca="1" si="914"/>
        <v>3</v>
      </c>
      <c r="BB840" s="1046">
        <f t="shared" ca="1" si="914"/>
        <v>4</v>
      </c>
      <c r="BC840" s="1046">
        <f t="shared" ca="1" si="914"/>
        <v>5</v>
      </c>
      <c r="BD840" s="1046">
        <f t="shared" ca="1" si="914"/>
        <v>2</v>
      </c>
      <c r="BE840" s="1046">
        <f t="shared" ca="1" si="914"/>
        <v>3</v>
      </c>
      <c r="BF840" s="1046">
        <f t="shared" ca="1" si="914"/>
        <v>4</v>
      </c>
      <c r="BG840" s="1079">
        <f t="shared" ca="1" si="914"/>
        <v>5</v>
      </c>
      <c r="BH840" s="471"/>
    </row>
    <row r="841" spans="1:60" s="107" customFormat="1" x14ac:dyDescent="0.25">
      <c r="A841" s="483" t="str">
        <f>$A$318</f>
        <v>Consensus Estimates - Gross Margin, %</v>
      </c>
      <c r="B841" s="1021"/>
      <c r="C841" s="193"/>
      <c r="D841" s="193"/>
      <c r="E841" s="193"/>
      <c r="F841" s="193"/>
      <c r="G841" s="193"/>
      <c r="H841" s="1005"/>
      <c r="I841" s="1005"/>
      <c r="J841" s="1005"/>
      <c r="K841" s="1005"/>
      <c r="L841" s="1005"/>
      <c r="M841" s="1005"/>
      <c r="N841" s="1005"/>
      <c r="O841" s="1005"/>
      <c r="P841" s="381"/>
      <c r="Q841" s="1021"/>
      <c r="R841" s="1021"/>
      <c r="S841" s="1021"/>
      <c r="T841" s="1021"/>
      <c r="U841" s="1021"/>
      <c r="V841" s="1021"/>
      <c r="W841" s="1021"/>
      <c r="X841" s="1021"/>
      <c r="Y841" s="1021"/>
      <c r="Z841" s="1021"/>
      <c r="AA841" s="1021"/>
      <c r="AB841" s="1021"/>
      <c r="AC841" s="1021"/>
      <c r="AD841" s="1021"/>
      <c r="AE841" s="1021"/>
      <c r="AF841" s="1021"/>
      <c r="AG841" s="1021"/>
      <c r="AH841" s="1021"/>
      <c r="AI841" s="1021"/>
      <c r="AJ841" s="1021"/>
      <c r="AK841" s="1021"/>
      <c r="AL841" s="1021"/>
      <c r="AM841" s="1021"/>
      <c r="AN841" s="1021"/>
      <c r="AO841" s="1021"/>
      <c r="AP841" s="1021"/>
      <c r="AQ841" s="1021"/>
      <c r="AR841" s="1021"/>
      <c r="AS841" s="1021"/>
      <c r="AT841" s="1021"/>
      <c r="AU841" s="1021"/>
      <c r="AV841" s="1021"/>
      <c r="AW841" s="1022"/>
      <c r="AX841" s="1005" t="str">
        <f ca="1">IFERROR(CHOOSE(MO.DataSourceIndex,BDP(MO.Ticker.Bloomberg&amp;" EQUITY","BEST_GROSS_MARGIN","BEST_FPERIOD_OVERRIDE="&amp;INDEX(tb_ConsensusEstimate,3,COLUMN())&amp;INDEX(tb_ConsensusEstimate,2,COLUMN())),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AY841" s="1005" t="str">
        <f ca="1">IFERROR(CHOOSE(MO.DataSourceIndex,BDP(MO.Ticker.Bloomberg&amp;" EQUITY","BEST_GROSS_MARGIN","BEST_FPERIOD_OVERRIDE="&amp;INDEX(tb_ConsensusEstimate,3,COLUMN())&amp;INDEX(tb_ConsensusEstimate,2,COLUMN())),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AZ841" s="1005" t="str">
        <f ca="1">IFERROR(CHOOSE(MO.DataSourceIndex,BDP(MO.Ticker.Bloomberg&amp;" EQUITY","BEST_GROSS_MARGIN","BEST_FPERIOD_OVERRIDE="&amp;INDEX(tb_ConsensusEstimate,3,COLUMN())&amp;INDEX(tb_ConsensusEstimate,2,COLUMN())),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BA841" s="1005" t="str">
        <f ca="1">IFERROR(CHOOSE(MO.DataSourceIndex,BDP(MO.Ticker.Bloomberg&amp;" EQUITY","BEST_GROSS_MARGIN","BEST_FPERIOD_OVERRIDE="&amp;INDEX(tb_ConsensusEstimate,3,COLUMN())&amp;INDEX(tb_ConsensusEstimate,2,COLUMN())),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BB841" s="1005" t="str">
        <f ca="1">IFERROR(CHOOSE(MO.DataSourceIndex,BDP(MO.Ticker.Bloomberg&amp;" EQUITY","BEST_GROSS_MARGIN","BEST_FPERIOD_OVERRIDE="&amp;INDEX(tb_ConsensusEstimate,3,COLUMN())&amp;INDEX(tb_ConsensusEstimate,2,COLUMN())),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BC841" s="1005" t="str">
        <f ca="1">IFERROR(CHOOSE(MO.DataSourceIndex,BDP(MO.Ticker.Bloomberg&amp;" EQUITY","BEST_GROSS_MARGIN","BEST_FPERIOD_OVERRIDE="&amp;INDEX(tb_ConsensusEstimate,3,COLUMN())&amp;INDEX(tb_ConsensusEstimate,2,COLUMN())),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BD841" s="1005" t="str">
        <f ca="1">IFERROR(CHOOSE(MO.DataSourceIndex,BDP(MO.Ticker.Bloomberg&amp;" EQUITY","BEST_GROSS_MARGIN","BEST_FPERIOD_OVERRIDE="&amp;INDEX(tb_ConsensusEstimate,3,COLUMN())&amp;INDEX(tb_ConsensusEstimate,2,COLUMN())),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BE841" s="1005" t="str">
        <f ca="1">IFERROR(CHOOSE(MO.DataSourceIndex,BDP(MO.Ticker.Bloomberg&amp;" EQUITY","BEST_GROSS_MARGIN","BEST_FPERIOD_OVERRIDE="&amp;INDEX(tb_ConsensusEstimate,3,COLUMN())&amp;INDEX(tb_ConsensusEstimate,2,COLUMN())),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BF841" s="1005" t="str">
        <f ca="1">IFERROR(CHOOSE(MO.DataSourceIndex,BDP(MO.Ticker.Bloomberg&amp;" EQUITY","BEST_GROSS_MARGIN","BEST_FPERIOD_OVERRIDE="&amp;INDEX(tb_ConsensusEstimate,3,COLUMN())&amp;INDEX(tb_ConsensusEstimate,2,COLUMN())),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BG841" s="1027" t="str">
        <f ca="1">IFERROR(CHOOSE(MO.DataSourceIndex,BDP(MO.Ticker.Bloomberg&amp;" EQUITY","BEST_GROSS_MARGIN","BEST_FPERIOD_OVERRIDE="&amp;INDEX(tb_ConsensusEstimate,3,COLUMN())&amp;INDEX(tb_ConsensusEstimate,2,COLUMN())),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BH841" s="472"/>
    </row>
    <row r="842" spans="1:60" s="107" customFormat="1" x14ac:dyDescent="0.25">
      <c r="A842" s="483" t="str">
        <f>$A$382</f>
        <v>Consensus Estimates - Net Revenue</v>
      </c>
      <c r="B842" s="1021"/>
      <c r="C842" s="194"/>
      <c r="D842" s="194"/>
      <c r="E842" s="194"/>
      <c r="F842" s="194"/>
      <c r="G842" s="194"/>
      <c r="H842" s="1021"/>
      <c r="I842" s="1021"/>
      <c r="J842" s="1021"/>
      <c r="K842" s="1021"/>
      <c r="L842" s="1021"/>
      <c r="M842" s="1021"/>
      <c r="N842" s="1021"/>
      <c r="O842" s="1021"/>
      <c r="P842" s="381"/>
      <c r="Q842" s="1021"/>
      <c r="R842" s="1021"/>
      <c r="S842" s="1021"/>
      <c r="T842" s="1021"/>
      <c r="U842" s="1021"/>
      <c r="V842" s="1021"/>
      <c r="W842" s="1021"/>
      <c r="X842" s="1021"/>
      <c r="Y842" s="1021"/>
      <c r="Z842" s="1021"/>
      <c r="AA842" s="1021"/>
      <c r="AB842" s="1021"/>
      <c r="AC842" s="1021"/>
      <c r="AD842" s="1021"/>
      <c r="AE842" s="1021"/>
      <c r="AF842" s="1021"/>
      <c r="AG842" s="1021"/>
      <c r="AH842" s="1021"/>
      <c r="AI842" s="1021"/>
      <c r="AJ842" s="1021"/>
      <c r="AK842" s="1021"/>
      <c r="AL842" s="1021"/>
      <c r="AM842" s="1021"/>
      <c r="AN842" s="1021"/>
      <c r="AO842" s="1021"/>
      <c r="AP842" s="1021"/>
      <c r="AQ842" s="1021"/>
      <c r="AR842" s="1021"/>
      <c r="AS842" s="1021"/>
      <c r="AT842" s="1021"/>
      <c r="AU842" s="1021"/>
      <c r="AV842" s="1021"/>
      <c r="AW842" s="1022"/>
      <c r="AX842" s="1021"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AY842" s="1021"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AZ842" s="1021"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A842" s="1021"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B842" s="1021"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C842" s="1021"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D842" s="1021"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E842" s="1021"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F842" s="1021"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G842" s="1028"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H842" s="472"/>
    </row>
    <row r="843" spans="1:60" s="107" customFormat="1" x14ac:dyDescent="0.25">
      <c r="A843" s="483" t="str">
        <f>$A$398</f>
        <v xml:space="preserve">Consensus Estimates - Adjusted EBITDA </v>
      </c>
      <c r="B843" s="1021"/>
      <c r="C843" s="194"/>
      <c r="D843" s="194"/>
      <c r="E843" s="194"/>
      <c r="F843" s="194"/>
      <c r="G843" s="194"/>
      <c r="H843" s="1021"/>
      <c r="I843" s="1021"/>
      <c r="J843" s="1021"/>
      <c r="K843" s="1021"/>
      <c r="L843" s="1021"/>
      <c r="M843" s="1021"/>
      <c r="N843" s="1021"/>
      <c r="O843" s="1021"/>
      <c r="P843" s="381"/>
      <c r="Q843" s="1021"/>
      <c r="R843" s="1021"/>
      <c r="S843" s="1021"/>
      <c r="T843" s="1021"/>
      <c r="U843" s="1021"/>
      <c r="V843" s="1021"/>
      <c r="W843" s="1021"/>
      <c r="X843" s="1021"/>
      <c r="Y843" s="1021"/>
      <c r="Z843" s="1021"/>
      <c r="AA843" s="1021"/>
      <c r="AB843" s="1021"/>
      <c r="AC843" s="1021"/>
      <c r="AD843" s="1021"/>
      <c r="AE843" s="1021"/>
      <c r="AF843" s="1021"/>
      <c r="AG843" s="1021"/>
      <c r="AH843" s="1021"/>
      <c r="AI843" s="1021"/>
      <c r="AJ843" s="1021"/>
      <c r="AK843" s="1021"/>
      <c r="AL843" s="1021"/>
      <c r="AM843" s="1021"/>
      <c r="AN843" s="1021"/>
      <c r="AO843" s="1021"/>
      <c r="AP843" s="1021"/>
      <c r="AQ843" s="1021"/>
      <c r="AR843" s="1021"/>
      <c r="AS843" s="1021"/>
      <c r="AT843" s="1021"/>
      <c r="AU843" s="1021"/>
      <c r="AV843" s="1021"/>
      <c r="AW843" s="1022"/>
      <c r="AX843" s="1021" t="str">
        <f ca="1">IFERROR(CHOOSE(MO.DataSourceIndex,BDP(MO.Ticker.Bloomberg&amp;" EQUITY","BEST_EBITDA","BEST_FPERIOD_OVERRIDE="&amp;INDEX(tb_ConsensusEstimate,3,COLUMN())&amp;INDEX(tb_ConsensusEstimate,2,COLUMN())),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AY843" s="1021" t="str">
        <f ca="1">IFERROR(CHOOSE(MO.DataSourceIndex,BDP(MO.Ticker.Bloomberg&amp;" EQUITY","BEST_EBITDA","BEST_FPERIOD_OVERRIDE="&amp;INDEX(tb_ConsensusEstimate,3,COLUMN())&amp;INDEX(tb_ConsensusEstimate,2,COLUMN())),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AZ843" s="1021" t="str">
        <f ca="1">IFERROR(CHOOSE(MO.DataSourceIndex,BDP(MO.Ticker.Bloomberg&amp;" EQUITY","BEST_EBITDA","BEST_FPERIOD_OVERRIDE="&amp;INDEX(tb_ConsensusEstimate,3,COLUMN())&amp;INDEX(tb_ConsensusEstimate,2,COLUMN())),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BA843" s="1021" t="str">
        <f ca="1">IFERROR(CHOOSE(MO.DataSourceIndex,BDP(MO.Ticker.Bloomberg&amp;" EQUITY","BEST_EBITDA","BEST_FPERIOD_OVERRIDE="&amp;INDEX(tb_ConsensusEstimate,3,COLUMN())&amp;INDEX(tb_ConsensusEstimate,2,COLUMN())),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BB843" s="1021" t="str">
        <f ca="1">IFERROR(CHOOSE(MO.DataSourceIndex,BDP(MO.Ticker.Bloomberg&amp;" EQUITY","BEST_EBITDA","BEST_FPERIOD_OVERRIDE="&amp;INDEX(tb_ConsensusEstimate,3,COLUMN())&amp;INDEX(tb_ConsensusEstimate,2,COLUMN())),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BC843" s="1021" t="str">
        <f ca="1">IFERROR(CHOOSE(MO.DataSourceIndex,BDP(MO.Ticker.Bloomberg&amp;" EQUITY","BEST_EBITDA","BEST_FPERIOD_OVERRIDE="&amp;INDEX(tb_ConsensusEstimate,3,COLUMN())&amp;INDEX(tb_ConsensusEstimate,2,COLUMN())),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BD843" s="1021" t="str">
        <f ca="1">IFERROR(CHOOSE(MO.DataSourceIndex,BDP(MO.Ticker.Bloomberg&amp;" EQUITY","BEST_EBITDA","BEST_FPERIOD_OVERRIDE="&amp;INDEX(tb_ConsensusEstimate,3,COLUMN())&amp;INDEX(tb_ConsensusEstimate,2,COLUMN())),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BE843" s="1021" t="str">
        <f ca="1">IFERROR(CHOOSE(MO.DataSourceIndex,BDP(MO.Ticker.Bloomberg&amp;" EQUITY","BEST_EBITDA","BEST_FPERIOD_OVERRIDE="&amp;INDEX(tb_ConsensusEstimate,3,COLUMN())&amp;INDEX(tb_ConsensusEstimate,2,COLUMN())),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BF843" s="1021" t="str">
        <f ca="1">IFERROR(CHOOSE(MO.DataSourceIndex,BDP(MO.Ticker.Bloomberg&amp;" EQUITY","BEST_EBITDA","BEST_FPERIOD_OVERRIDE="&amp;INDEX(tb_ConsensusEstimate,3,COLUMN())&amp;INDEX(tb_ConsensusEstimate,2,COLUMN())),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BG843" s="1028" t="str">
        <f ca="1">IFERROR(CHOOSE(MO.DataSourceIndex,BDP(MO.Ticker.Bloomberg&amp;" EQUITY","BEST_EBITDA","BEST_FPERIOD_OVERRIDE="&amp;INDEX(tb_ConsensusEstimate,3,COLUMN())&amp;INDEX(tb_ConsensusEstimate,2,COLUMN())),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BH843" s="472"/>
    </row>
    <row r="844" spans="1:60" s="241" customFormat="1" x14ac:dyDescent="0.25">
      <c r="A844" s="483" t="str">
        <f>$A$392</f>
        <v>Consensus Estimates - Adjusted EBIT</v>
      </c>
      <c r="B844" s="1021"/>
      <c r="C844" s="194"/>
      <c r="D844" s="194"/>
      <c r="E844" s="194"/>
      <c r="F844" s="194"/>
      <c r="G844" s="194"/>
      <c r="H844" s="1021"/>
      <c r="I844" s="1021"/>
      <c r="J844" s="1021"/>
      <c r="K844" s="1021"/>
      <c r="L844" s="1021"/>
      <c r="M844" s="1021"/>
      <c r="N844" s="1021"/>
      <c r="O844" s="1021"/>
      <c r="P844" s="381"/>
      <c r="Q844" s="1021"/>
      <c r="R844" s="1021"/>
      <c r="S844" s="1021"/>
      <c r="T844" s="1021"/>
      <c r="U844" s="1021"/>
      <c r="V844" s="1021"/>
      <c r="W844" s="1021"/>
      <c r="X844" s="1021"/>
      <c r="Y844" s="1021"/>
      <c r="Z844" s="1021"/>
      <c r="AA844" s="1021"/>
      <c r="AB844" s="1021"/>
      <c r="AC844" s="1021"/>
      <c r="AD844" s="1021"/>
      <c r="AE844" s="1021"/>
      <c r="AF844" s="1021"/>
      <c r="AG844" s="1021"/>
      <c r="AH844" s="1021"/>
      <c r="AI844" s="1021"/>
      <c r="AJ844" s="1021"/>
      <c r="AK844" s="1021"/>
      <c r="AL844" s="1021"/>
      <c r="AM844" s="1021"/>
      <c r="AN844" s="1021"/>
      <c r="AO844" s="1021"/>
      <c r="AP844" s="1021"/>
      <c r="AQ844" s="1021"/>
      <c r="AR844" s="1021"/>
      <c r="AS844" s="1021"/>
      <c r="AT844" s="1021"/>
      <c r="AU844" s="1021"/>
      <c r="AV844" s="1021"/>
      <c r="AW844" s="1022"/>
      <c r="AX844" s="1021" t="str">
        <f ca="1">IFERROR(CHOOSE(MO.DataSourceIndex,BDP(MO.Ticker.Bloomberg&amp;" EQUITY","BEST_EBIT","BEST_FPERIOD_OVERRIDE="&amp;INDEX(tb_ConsensusEstimate,3,COLUMN())&amp;INDEX(tb_ConsensusEstimate,2,COLUMN())),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AY844" s="1021" t="str">
        <f ca="1">IFERROR(CHOOSE(MO.DataSourceIndex,BDP(MO.Ticker.Bloomberg&amp;" EQUITY","BEST_EBIT","BEST_FPERIOD_OVERRIDE="&amp;INDEX(tb_ConsensusEstimate,3,COLUMN())&amp;INDEX(tb_ConsensusEstimate,2,COLUMN())),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AZ844" s="1021" t="str">
        <f ca="1">IFERROR(CHOOSE(MO.DataSourceIndex,BDP(MO.Ticker.Bloomberg&amp;" EQUITY","BEST_EBIT","BEST_FPERIOD_OVERRIDE="&amp;INDEX(tb_ConsensusEstimate,3,COLUMN())&amp;INDEX(tb_ConsensusEstimate,2,COLUMN())),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BA844" s="1021" t="str">
        <f ca="1">IFERROR(CHOOSE(MO.DataSourceIndex,BDP(MO.Ticker.Bloomberg&amp;" EQUITY","BEST_EBIT","BEST_FPERIOD_OVERRIDE="&amp;INDEX(tb_ConsensusEstimate,3,COLUMN())&amp;INDEX(tb_ConsensusEstimate,2,COLUMN())),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BB844" s="1021" t="str">
        <f ca="1">IFERROR(CHOOSE(MO.DataSourceIndex,BDP(MO.Ticker.Bloomberg&amp;" EQUITY","BEST_EBIT","BEST_FPERIOD_OVERRIDE="&amp;INDEX(tb_ConsensusEstimate,3,COLUMN())&amp;INDEX(tb_ConsensusEstimate,2,COLUMN())),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BC844" s="1021" t="str">
        <f ca="1">IFERROR(CHOOSE(MO.DataSourceIndex,BDP(MO.Ticker.Bloomberg&amp;" EQUITY","BEST_EBIT","BEST_FPERIOD_OVERRIDE="&amp;INDEX(tb_ConsensusEstimate,3,COLUMN())&amp;INDEX(tb_ConsensusEstimate,2,COLUMN())),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BD844" s="1021" t="str">
        <f ca="1">IFERROR(CHOOSE(MO.DataSourceIndex,BDP(MO.Ticker.Bloomberg&amp;" EQUITY","BEST_EBIT","BEST_FPERIOD_OVERRIDE="&amp;INDEX(tb_ConsensusEstimate,3,COLUMN())&amp;INDEX(tb_ConsensusEstimate,2,COLUMN())),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BE844" s="1021" t="str">
        <f ca="1">IFERROR(CHOOSE(MO.DataSourceIndex,BDP(MO.Ticker.Bloomberg&amp;" EQUITY","BEST_EBIT","BEST_FPERIOD_OVERRIDE="&amp;INDEX(tb_ConsensusEstimate,3,COLUMN())&amp;INDEX(tb_ConsensusEstimate,2,COLUMN())),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BF844" s="1021" t="str">
        <f ca="1">IFERROR(CHOOSE(MO.DataSourceIndex,BDP(MO.Ticker.Bloomberg&amp;" EQUITY","BEST_EBIT","BEST_FPERIOD_OVERRIDE="&amp;INDEX(tb_ConsensusEstimate,3,COLUMN())&amp;INDEX(tb_ConsensusEstimate,2,COLUMN())),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BG844" s="1028" t="str">
        <f ca="1">IFERROR(CHOOSE(MO.DataSourceIndex,BDP(MO.Ticker.Bloomberg&amp;" EQUITY","BEST_EBIT","BEST_FPERIOD_OVERRIDE="&amp;INDEX(tb_ConsensusEstimate,3,COLUMN())&amp;INDEX(tb_ConsensusEstimate,2,COLUMN())),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BH844" s="472"/>
    </row>
    <row r="845" spans="1:60" s="107" customFormat="1" x14ac:dyDescent="0.25">
      <c r="A845" s="483" t="str">
        <f>$A$425</f>
        <v>Consensus Estimates - Adjusted Earnings Per Share - WAD</v>
      </c>
      <c r="B845" s="1021"/>
      <c r="C845" s="195"/>
      <c r="D845" s="195"/>
      <c r="E845" s="195"/>
      <c r="F845" s="195"/>
      <c r="G845" s="195"/>
      <c r="H845" s="1021"/>
      <c r="I845" s="1021"/>
      <c r="J845" s="1021"/>
      <c r="K845" s="1021"/>
      <c r="L845" s="1021"/>
      <c r="M845" s="1021"/>
      <c r="N845" s="1021"/>
      <c r="O845" s="1021"/>
      <c r="P845" s="381"/>
      <c r="Q845" s="1021"/>
      <c r="R845" s="1021"/>
      <c r="S845" s="1021"/>
      <c r="T845" s="1021"/>
      <c r="U845" s="1021"/>
      <c r="V845" s="1021"/>
      <c r="W845" s="1021"/>
      <c r="X845" s="1021"/>
      <c r="Y845" s="1021"/>
      <c r="Z845" s="1021"/>
      <c r="AA845" s="1021"/>
      <c r="AB845" s="1021"/>
      <c r="AC845" s="1021"/>
      <c r="AD845" s="1021"/>
      <c r="AE845" s="1021"/>
      <c r="AF845" s="1021"/>
      <c r="AG845" s="1021"/>
      <c r="AH845" s="1021"/>
      <c r="AI845" s="1021"/>
      <c r="AJ845" s="1021"/>
      <c r="AK845" s="1021"/>
      <c r="AL845" s="1021"/>
      <c r="AM845" s="1021"/>
      <c r="AN845" s="1021"/>
      <c r="AO845" s="1021"/>
      <c r="AP845" s="1021"/>
      <c r="AQ845" s="1021"/>
      <c r="AR845" s="1021"/>
      <c r="AS845" s="1021"/>
      <c r="AT845" s="1021"/>
      <c r="AU845" s="1021"/>
      <c r="AV845" s="1021"/>
      <c r="AW845" s="1022"/>
      <c r="AX845" s="1021"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AY845" s="1021"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AZ845" s="1021"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A845" s="1021"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B845" s="1021"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C845" s="1021"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D845" s="1021"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E845" s="1021"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F845" s="1021"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G845" s="1028"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H845" s="472"/>
    </row>
    <row r="846" spans="1:60" s="107" customFormat="1" x14ac:dyDescent="0.25">
      <c r="A846" s="483" t="str">
        <f>$A$434</f>
        <v>Consensus Estimates - Cash Flow Per Diluted Share</v>
      </c>
      <c r="B846" s="1021"/>
      <c r="C846" s="195"/>
      <c r="D846" s="195"/>
      <c r="E846" s="195"/>
      <c r="F846" s="195"/>
      <c r="G846" s="195"/>
      <c r="H846" s="1021"/>
      <c r="I846" s="1021"/>
      <c r="J846" s="1021"/>
      <c r="K846" s="1021"/>
      <c r="L846" s="1021"/>
      <c r="M846" s="1021"/>
      <c r="N846" s="1021"/>
      <c r="O846" s="1021"/>
      <c r="P846" s="381"/>
      <c r="Q846" s="1021"/>
      <c r="R846" s="1021"/>
      <c r="S846" s="1021"/>
      <c r="T846" s="1021"/>
      <c r="U846" s="1021"/>
      <c r="V846" s="1021"/>
      <c r="W846" s="1021"/>
      <c r="X846" s="1021"/>
      <c r="Y846" s="1021"/>
      <c r="Z846" s="1021"/>
      <c r="AA846" s="1021"/>
      <c r="AB846" s="1021"/>
      <c r="AC846" s="1021"/>
      <c r="AD846" s="1021"/>
      <c r="AE846" s="1021"/>
      <c r="AF846" s="1021"/>
      <c r="AG846" s="1021"/>
      <c r="AH846" s="1021"/>
      <c r="AI846" s="1021"/>
      <c r="AJ846" s="1021"/>
      <c r="AK846" s="1021"/>
      <c r="AL846" s="1021"/>
      <c r="AM846" s="1021"/>
      <c r="AN846" s="1021"/>
      <c r="AO846" s="1021"/>
      <c r="AP846" s="1021"/>
      <c r="AQ846" s="1021"/>
      <c r="AR846" s="1021"/>
      <c r="AS846" s="1021"/>
      <c r="AT846" s="1021"/>
      <c r="AU846" s="1021"/>
      <c r="AV846" s="1021"/>
      <c r="AW846" s="1022"/>
      <c r="AX846" s="1021" t="str">
        <f ca="1">IFERROR(CHOOSE(MO.DataSourceIndex,BDP(MO.Ticker.Bloomberg&amp;" EQUITY","BEST_CPS","BEST_FPERIOD_OVERRIDE="&amp;INDEX(tb_ConsensusEstimate,3,COLUMN())&amp;INDEX(tb_ConsensusEstimate,2,COLUMN())),CIQ(MO.Ticker.CapIQ,"IQ_CFPS_EST","IQ_"&amp;INDEX(tb_ConsensusEstimate,2,COLUMN())&amp;"+"&amp;INDEX(tb_ConsensusEstimate,3,COLUMN())),FDS(MO.Ticker.FactSet,"FE_ESTIMATE(CFPS,MEAN,"&amp;INDEX(tb_ConsensusEstimate,2,COLUMN())&amp;",+"&amp;INDEX(tb_ConsensusEstimate,3,COLUMN())&amp;",NOW"&amp;",,,'CURRENCY="&amp;HP.ReportCurrency&amp;"')"),_xll.TR(MO.Ticker.Thomson,"ZAV(TR.CFPSMean)","Period="&amp;INDEX(tb_ConsensusEstimate,2,COLUMN())&amp;INDEX(tb_ConsensusEstimate,3,COLUMN()))),"N/A")</f>
        <v>N/A</v>
      </c>
      <c r="AY846" s="1021" t="str">
        <f ca="1">IFERROR(CHOOSE(MO.DataSourceIndex,BDP(MO.Ticker.Bloomberg&amp;" EQUITY","BEST_CPS","BEST_FPERIOD_OVERRIDE="&amp;INDEX(tb_ConsensusEstimate,3,COLUMN())&amp;INDEX(tb_ConsensusEstimate,2,COLUMN())),CIQ(MO.Ticker.CapIQ,"IQ_CFPS_EST","IQ_"&amp;INDEX(tb_ConsensusEstimate,2,COLUMN())&amp;"+"&amp;INDEX(tb_ConsensusEstimate,3,COLUMN())),FDS(MO.Ticker.FactSet,"FE_ESTIMATE(CFPS,MEAN,"&amp;INDEX(tb_ConsensusEstimate,2,COLUMN())&amp;",+"&amp;INDEX(tb_ConsensusEstimate,3,COLUMN())&amp;",NOW"&amp;",,,'CURRENCY="&amp;HP.ReportCurrency&amp;"')"),_xll.TR(MO.Ticker.Thomson,"ZAV(TR.CFPSMean)","Period="&amp;INDEX(tb_ConsensusEstimate,2,COLUMN())&amp;INDEX(tb_ConsensusEstimate,3,COLUMN()))),"N/A")</f>
        <v>N/A</v>
      </c>
      <c r="AZ846" s="1021" t="str">
        <f ca="1">IFERROR(CHOOSE(MO.DataSourceIndex,BDP(MO.Ticker.Bloomberg&amp;" EQUITY","BEST_CPS","BEST_FPERIOD_OVERRIDE="&amp;INDEX(tb_ConsensusEstimate,3,COLUMN())&amp;INDEX(tb_ConsensusEstimate,2,COLUMN())),CIQ(MO.Ticker.CapIQ,"IQ_CFPS_EST","IQ_"&amp;INDEX(tb_ConsensusEstimate,2,COLUMN())&amp;"+"&amp;INDEX(tb_ConsensusEstimate,3,COLUMN())),FDS(MO.Ticker.FactSet,"FE_ESTIMATE(CFPS,MEAN,"&amp;INDEX(tb_ConsensusEstimate,2,COLUMN())&amp;",+"&amp;INDEX(tb_ConsensusEstimate,3,COLUMN())&amp;",NOW"&amp;",,,'CURRENCY="&amp;HP.ReportCurrency&amp;"')"),_xll.TR(MO.Ticker.Thomson,"ZAV(TR.CFPSMean)","Period="&amp;INDEX(tb_ConsensusEstimate,2,COLUMN())&amp;INDEX(tb_ConsensusEstimate,3,COLUMN()))),"N/A")</f>
        <v>N/A</v>
      </c>
      <c r="BA846" s="1021" t="str">
        <f ca="1">IFERROR(CHOOSE(MO.DataSourceIndex,BDP(MO.Ticker.Bloomberg&amp;" EQUITY","BEST_CPS","BEST_FPERIOD_OVERRIDE="&amp;INDEX(tb_ConsensusEstimate,3,COLUMN())&amp;INDEX(tb_ConsensusEstimate,2,COLUMN())),CIQ(MO.Ticker.CapIQ,"IQ_CFPS_EST","IQ_"&amp;INDEX(tb_ConsensusEstimate,2,COLUMN())&amp;"+"&amp;INDEX(tb_ConsensusEstimate,3,COLUMN())),FDS(MO.Ticker.FactSet,"FE_ESTIMATE(CFPS,MEAN,"&amp;INDEX(tb_ConsensusEstimate,2,COLUMN())&amp;",+"&amp;INDEX(tb_ConsensusEstimate,3,COLUMN())&amp;",NOW"&amp;",,,'CURRENCY="&amp;HP.ReportCurrency&amp;"')"),_xll.TR(MO.Ticker.Thomson,"ZAV(TR.CFPSMean)","Period="&amp;INDEX(tb_ConsensusEstimate,2,COLUMN())&amp;INDEX(tb_ConsensusEstimate,3,COLUMN()))),"N/A")</f>
        <v>N/A</v>
      </c>
      <c r="BB846" s="1021" t="str">
        <f ca="1">IFERROR(CHOOSE(MO.DataSourceIndex,BDP(MO.Ticker.Bloomberg&amp;" EQUITY","BEST_CPS","BEST_FPERIOD_OVERRIDE="&amp;INDEX(tb_ConsensusEstimate,3,COLUMN())&amp;INDEX(tb_ConsensusEstimate,2,COLUMN())),CIQ(MO.Ticker.CapIQ,"IQ_CFPS_EST","IQ_"&amp;INDEX(tb_ConsensusEstimate,2,COLUMN())&amp;"+"&amp;INDEX(tb_ConsensusEstimate,3,COLUMN())),FDS(MO.Ticker.FactSet,"FE_ESTIMATE(CFPS,MEAN,"&amp;INDEX(tb_ConsensusEstimate,2,COLUMN())&amp;",+"&amp;INDEX(tb_ConsensusEstimate,3,COLUMN())&amp;",NOW"&amp;",,,'CURRENCY="&amp;HP.ReportCurrency&amp;"')"),_xll.TR(MO.Ticker.Thomson,"ZAV(TR.CFPSMean)","Period="&amp;INDEX(tb_ConsensusEstimate,2,COLUMN())&amp;INDEX(tb_ConsensusEstimate,3,COLUMN()))),"N/A")</f>
        <v>N/A</v>
      </c>
      <c r="BC846" s="1021" t="str">
        <f ca="1">IFERROR(CHOOSE(MO.DataSourceIndex,BDP(MO.Ticker.Bloomberg&amp;" EQUITY","BEST_CPS","BEST_FPERIOD_OVERRIDE="&amp;INDEX(tb_ConsensusEstimate,3,COLUMN())&amp;INDEX(tb_ConsensusEstimate,2,COLUMN())),CIQ(MO.Ticker.CapIQ,"IQ_CFPS_EST","IQ_"&amp;INDEX(tb_ConsensusEstimate,2,COLUMN())&amp;"+"&amp;INDEX(tb_ConsensusEstimate,3,COLUMN())),FDS(MO.Ticker.FactSet,"FE_ESTIMATE(CFPS,MEAN,"&amp;INDEX(tb_ConsensusEstimate,2,COLUMN())&amp;",+"&amp;INDEX(tb_ConsensusEstimate,3,COLUMN())&amp;",NOW"&amp;",,,'CURRENCY="&amp;HP.ReportCurrency&amp;"')"),_xll.TR(MO.Ticker.Thomson,"ZAV(TR.CFPSMean)","Period="&amp;INDEX(tb_ConsensusEstimate,2,COLUMN())&amp;INDEX(tb_ConsensusEstimate,3,COLUMN()))),"N/A")</f>
        <v>N/A</v>
      </c>
      <c r="BD846" s="1021" t="str">
        <f ca="1">IFERROR(CHOOSE(MO.DataSourceIndex,BDP(MO.Ticker.Bloomberg&amp;" EQUITY","BEST_CPS","BEST_FPERIOD_OVERRIDE="&amp;INDEX(tb_ConsensusEstimate,3,COLUMN())&amp;INDEX(tb_ConsensusEstimate,2,COLUMN())),CIQ(MO.Ticker.CapIQ,"IQ_CFPS_EST","IQ_"&amp;INDEX(tb_ConsensusEstimate,2,COLUMN())&amp;"+"&amp;INDEX(tb_ConsensusEstimate,3,COLUMN())),FDS(MO.Ticker.FactSet,"FE_ESTIMATE(CFPS,MEAN,"&amp;INDEX(tb_ConsensusEstimate,2,COLUMN())&amp;",+"&amp;INDEX(tb_ConsensusEstimate,3,COLUMN())&amp;",NOW"&amp;",,,'CURRENCY="&amp;HP.ReportCurrency&amp;"')"),_xll.TR(MO.Ticker.Thomson,"ZAV(TR.CFPSMean)","Period="&amp;INDEX(tb_ConsensusEstimate,2,COLUMN())&amp;INDEX(tb_ConsensusEstimate,3,COLUMN()))),"N/A")</f>
        <v>N/A</v>
      </c>
      <c r="BE846" s="1021" t="str">
        <f ca="1">IFERROR(CHOOSE(MO.DataSourceIndex,BDP(MO.Ticker.Bloomberg&amp;" EQUITY","BEST_CPS","BEST_FPERIOD_OVERRIDE="&amp;INDEX(tb_ConsensusEstimate,3,COLUMN())&amp;INDEX(tb_ConsensusEstimate,2,COLUMN())),CIQ(MO.Ticker.CapIQ,"IQ_CFPS_EST","IQ_"&amp;INDEX(tb_ConsensusEstimate,2,COLUMN())&amp;"+"&amp;INDEX(tb_ConsensusEstimate,3,COLUMN())),FDS(MO.Ticker.FactSet,"FE_ESTIMATE(CFPS,MEAN,"&amp;INDEX(tb_ConsensusEstimate,2,COLUMN())&amp;",+"&amp;INDEX(tb_ConsensusEstimate,3,COLUMN())&amp;",NOW"&amp;",,,'CURRENCY="&amp;HP.ReportCurrency&amp;"')"),_xll.TR(MO.Ticker.Thomson,"ZAV(TR.CFPSMean)","Period="&amp;INDEX(tb_ConsensusEstimate,2,COLUMN())&amp;INDEX(tb_ConsensusEstimate,3,COLUMN()))),"N/A")</f>
        <v>N/A</v>
      </c>
      <c r="BF846" s="1021" t="str">
        <f ca="1">IFERROR(CHOOSE(MO.DataSourceIndex,BDP(MO.Ticker.Bloomberg&amp;" EQUITY","BEST_CPS","BEST_FPERIOD_OVERRIDE="&amp;INDEX(tb_ConsensusEstimate,3,COLUMN())&amp;INDEX(tb_ConsensusEstimate,2,COLUMN())),CIQ(MO.Ticker.CapIQ,"IQ_CFPS_EST","IQ_"&amp;INDEX(tb_ConsensusEstimate,2,COLUMN())&amp;"+"&amp;INDEX(tb_ConsensusEstimate,3,COLUMN())),FDS(MO.Ticker.FactSet,"FE_ESTIMATE(CFPS,MEAN,"&amp;INDEX(tb_ConsensusEstimate,2,COLUMN())&amp;",+"&amp;INDEX(tb_ConsensusEstimate,3,COLUMN())&amp;",NOW"&amp;",,,'CURRENCY="&amp;HP.ReportCurrency&amp;"')"),_xll.TR(MO.Ticker.Thomson,"ZAV(TR.CFPSMean)","Period="&amp;INDEX(tb_ConsensusEstimate,2,COLUMN())&amp;INDEX(tb_ConsensusEstimate,3,COLUMN()))),"N/A")</f>
        <v>N/A</v>
      </c>
      <c r="BG846" s="1028" t="str">
        <f ca="1">IFERROR(CHOOSE(MO.DataSourceIndex,BDP(MO.Ticker.Bloomberg&amp;" EQUITY","BEST_CPS","BEST_FPERIOD_OVERRIDE="&amp;INDEX(tb_ConsensusEstimate,3,COLUMN())&amp;INDEX(tb_ConsensusEstimate,2,COLUMN())),CIQ(MO.Ticker.CapIQ,"IQ_CFPS_EST","IQ_"&amp;INDEX(tb_ConsensusEstimate,2,COLUMN())&amp;"+"&amp;INDEX(tb_ConsensusEstimate,3,COLUMN())),FDS(MO.Ticker.FactSet,"FE_ESTIMATE(CFPS,MEAN,"&amp;INDEX(tb_ConsensusEstimate,2,COLUMN())&amp;",+"&amp;INDEX(tb_ConsensusEstimate,3,COLUMN())&amp;",NOW"&amp;",,,'CURRENCY="&amp;HP.ReportCurrency&amp;"')"),_xll.TR(MO.Ticker.Thomson,"ZAV(TR.CFPSMean)","Period="&amp;INDEX(tb_ConsensusEstimate,2,COLUMN())&amp;INDEX(tb_ConsensusEstimate,3,COLUMN()))),"N/A")</f>
        <v>N/A</v>
      </c>
      <c r="BH846" s="472"/>
    </row>
    <row r="847" spans="1:60" s="107" customFormat="1" x14ac:dyDescent="0.25">
      <c r="A847" s="483" t="str">
        <f>A436</f>
        <v>Consensus Estimates - Capex</v>
      </c>
      <c r="B847" s="1021"/>
      <c r="C847" s="194"/>
      <c r="D847" s="194"/>
      <c r="E847" s="194"/>
      <c r="F847" s="194"/>
      <c r="G847" s="194"/>
      <c r="H847" s="1021"/>
      <c r="I847" s="1021"/>
      <c r="J847" s="1021"/>
      <c r="K847" s="1021"/>
      <c r="L847" s="1021"/>
      <c r="M847" s="1021"/>
      <c r="N847" s="1021"/>
      <c r="O847" s="1021"/>
      <c r="P847" s="381"/>
      <c r="Q847" s="1021"/>
      <c r="R847" s="1021"/>
      <c r="S847" s="1021"/>
      <c r="T847" s="1021"/>
      <c r="U847" s="1021"/>
      <c r="V847" s="1021"/>
      <c r="W847" s="1021"/>
      <c r="X847" s="1021"/>
      <c r="Y847" s="1021"/>
      <c r="Z847" s="1021"/>
      <c r="AA847" s="1021"/>
      <c r="AB847" s="1021"/>
      <c r="AC847" s="1021"/>
      <c r="AD847" s="1021"/>
      <c r="AE847" s="1021"/>
      <c r="AF847" s="1021"/>
      <c r="AG847" s="1021"/>
      <c r="AH847" s="1021"/>
      <c r="AI847" s="1021"/>
      <c r="AJ847" s="1021"/>
      <c r="AK847" s="1021"/>
      <c r="AL847" s="1021"/>
      <c r="AM847" s="1021"/>
      <c r="AN847" s="1021"/>
      <c r="AO847" s="1021"/>
      <c r="AP847" s="1021"/>
      <c r="AQ847" s="1021"/>
      <c r="AR847" s="1021"/>
      <c r="AS847" s="1021"/>
      <c r="AT847" s="1021"/>
      <c r="AU847" s="1021"/>
      <c r="AV847" s="1021"/>
      <c r="AW847" s="1022"/>
      <c r="AX847" s="1021" t="str">
        <f ca="1">IFERROR(CHOOSE(MO.DataSourceIndex,BDP(MO.Ticker.Bloomberg&amp;" EQUITY","BEST_CAPEX","BEST_FPERIOD_OVERRIDE="&amp;INDEX(tb_ConsensusEstimate,3,COLUMN())&amp;INDEX(tb_ConsensusEstimate,2,COLUMN())),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AY847" s="1021" t="str">
        <f ca="1">IFERROR(CHOOSE(MO.DataSourceIndex,BDP(MO.Ticker.Bloomberg&amp;" EQUITY","BEST_CAPEX","BEST_FPERIOD_OVERRIDE="&amp;INDEX(tb_ConsensusEstimate,3,COLUMN())&amp;INDEX(tb_ConsensusEstimate,2,COLUMN())),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AZ847" s="1021" t="str">
        <f ca="1">IFERROR(CHOOSE(MO.DataSourceIndex,BDP(MO.Ticker.Bloomberg&amp;" EQUITY","BEST_CAPEX","BEST_FPERIOD_OVERRIDE="&amp;INDEX(tb_ConsensusEstimate,3,COLUMN())&amp;INDEX(tb_ConsensusEstimate,2,COLUMN())),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BA847" s="1021" t="str">
        <f ca="1">IFERROR(CHOOSE(MO.DataSourceIndex,BDP(MO.Ticker.Bloomberg&amp;" EQUITY","BEST_CAPEX","BEST_FPERIOD_OVERRIDE="&amp;INDEX(tb_ConsensusEstimate,3,COLUMN())&amp;INDEX(tb_ConsensusEstimate,2,COLUMN())),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BB847" s="1021" t="str">
        <f ca="1">IFERROR(CHOOSE(MO.DataSourceIndex,BDP(MO.Ticker.Bloomberg&amp;" EQUITY","BEST_CAPEX","BEST_FPERIOD_OVERRIDE="&amp;INDEX(tb_ConsensusEstimate,3,COLUMN())&amp;INDEX(tb_ConsensusEstimate,2,COLUMN())),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BC847" s="1021" t="str">
        <f ca="1">IFERROR(CHOOSE(MO.DataSourceIndex,BDP(MO.Ticker.Bloomberg&amp;" EQUITY","BEST_CAPEX","BEST_FPERIOD_OVERRIDE="&amp;INDEX(tb_ConsensusEstimate,3,COLUMN())&amp;INDEX(tb_ConsensusEstimate,2,COLUMN())),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BD847" s="1021" t="str">
        <f ca="1">IFERROR(CHOOSE(MO.DataSourceIndex,BDP(MO.Ticker.Bloomberg&amp;" EQUITY","BEST_CAPEX","BEST_FPERIOD_OVERRIDE="&amp;INDEX(tb_ConsensusEstimate,3,COLUMN())&amp;INDEX(tb_ConsensusEstimate,2,COLUMN())),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BE847" s="1021" t="str">
        <f ca="1">IFERROR(CHOOSE(MO.DataSourceIndex,BDP(MO.Ticker.Bloomberg&amp;" EQUITY","BEST_CAPEX","BEST_FPERIOD_OVERRIDE="&amp;INDEX(tb_ConsensusEstimate,3,COLUMN())&amp;INDEX(tb_ConsensusEstimate,2,COLUMN())),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BF847" s="1021" t="str">
        <f ca="1">IFERROR(CHOOSE(MO.DataSourceIndex,BDP(MO.Ticker.Bloomberg&amp;" EQUITY","BEST_CAPEX","BEST_FPERIOD_OVERRIDE="&amp;INDEX(tb_ConsensusEstimate,3,COLUMN())&amp;INDEX(tb_ConsensusEstimate,2,COLUMN())),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BG847" s="1028" t="str">
        <f ca="1">IFERROR(CHOOSE(MO.DataSourceIndex,BDP(MO.Ticker.Bloomberg&amp;" EQUITY","BEST_CAPEX","BEST_FPERIOD_OVERRIDE="&amp;INDEX(tb_ConsensusEstimate,3,COLUMN())&amp;INDEX(tb_ConsensusEstimate,2,COLUMN())),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BH847" s="472"/>
    </row>
    <row r="848" spans="1:60" x14ac:dyDescent="0.25">
      <c r="A848" s="484"/>
      <c r="B848" s="1035"/>
      <c r="C848" s="481"/>
      <c r="D848" s="481"/>
      <c r="E848" s="1035"/>
      <c r="F848" s="1035"/>
      <c r="G848" s="1035"/>
      <c r="H848" s="1035"/>
      <c r="I848" s="1035"/>
      <c r="J848" s="1035"/>
      <c r="K848" s="1035"/>
      <c r="L848" s="1035"/>
      <c r="M848" s="1035"/>
      <c r="N848" s="1035"/>
      <c r="O848" s="1035"/>
      <c r="P848" s="482"/>
      <c r="Q848" s="1035"/>
      <c r="R848" s="1035"/>
      <c r="S848" s="1035"/>
      <c r="T848" s="1035"/>
      <c r="U848" s="1035"/>
      <c r="V848" s="1035"/>
      <c r="W848" s="1035"/>
      <c r="X848" s="1035"/>
      <c r="Y848" s="1035"/>
      <c r="Z848" s="1035"/>
      <c r="AA848" s="1035"/>
      <c r="AB848" s="1035"/>
      <c r="AC848" s="1035"/>
      <c r="AD848" s="1035"/>
      <c r="AE848" s="1035"/>
      <c r="AF848" s="1035"/>
      <c r="AG848" s="1035"/>
      <c r="AH848" s="1035"/>
      <c r="AI848" s="1035"/>
      <c r="AJ848" s="1035"/>
      <c r="AK848" s="1035"/>
      <c r="AL848" s="1035"/>
      <c r="AM848" s="1035"/>
      <c r="AN848" s="1035"/>
      <c r="AO848" s="1035"/>
      <c r="AP848" s="1035"/>
      <c r="AQ848" s="1035"/>
      <c r="AR848" s="1035"/>
      <c r="AS848" s="1035"/>
      <c r="AT848" s="1035"/>
      <c r="AU848" s="1035"/>
      <c r="AV848" s="1035"/>
      <c r="AW848" s="1036"/>
      <c r="AX848" s="1035"/>
      <c r="AY848" s="1035"/>
      <c r="AZ848" s="1035"/>
      <c r="BA848" s="1035"/>
      <c r="BB848" s="1035"/>
      <c r="BC848" s="1035"/>
      <c r="BD848" s="1035"/>
      <c r="BE848" s="1035"/>
      <c r="BF848" s="1035"/>
      <c r="BG848" s="1029"/>
      <c r="BH848" s="472"/>
    </row>
    <row r="849" spans="1:60" x14ac:dyDescent="0.25">
      <c r="A849" s="473"/>
      <c r="B849" s="461"/>
      <c r="C849" s="474"/>
      <c r="D849" s="474"/>
      <c r="E849" s="461"/>
      <c r="F849" s="461"/>
      <c r="G849" s="461"/>
      <c r="H849" s="461"/>
      <c r="I849" s="461"/>
      <c r="J849" s="461"/>
      <c r="K849" s="461"/>
      <c r="L849" s="461"/>
      <c r="M849" s="461"/>
      <c r="N849" s="461"/>
      <c r="O849" s="461"/>
      <c r="P849" s="475"/>
      <c r="Q849" s="461"/>
      <c r="R849" s="461"/>
      <c r="S849" s="461"/>
      <c r="T849" s="461"/>
      <c r="U849" s="461"/>
      <c r="V849" s="461"/>
      <c r="W849" s="461"/>
      <c r="X849" s="461"/>
      <c r="Y849" s="461"/>
      <c r="Z849" s="461"/>
      <c r="AA849" s="461"/>
      <c r="AB849" s="461"/>
      <c r="AC849" s="461"/>
      <c r="AD849" s="461"/>
      <c r="AE849" s="461"/>
      <c r="AF849" s="461"/>
      <c r="AG849" s="461"/>
      <c r="AH849" s="461"/>
      <c r="AI849" s="461"/>
      <c r="AJ849" s="461"/>
      <c r="AK849" s="461"/>
      <c r="AL849" s="461"/>
      <c r="AM849" s="461"/>
      <c r="AN849" s="461"/>
      <c r="AO849" s="461"/>
      <c r="AP849" s="461"/>
      <c r="AQ849" s="461"/>
      <c r="AR849" s="461"/>
      <c r="AS849" s="461"/>
      <c r="AT849" s="461"/>
      <c r="AU849" s="461"/>
      <c r="AV849" s="461"/>
      <c r="AW849" s="749"/>
      <c r="AX849" s="461"/>
      <c r="AY849" s="461"/>
      <c r="AZ849" s="461"/>
      <c r="BA849" s="461"/>
      <c r="BB849" s="461"/>
      <c r="BC849" s="461"/>
      <c r="BD849" s="461"/>
      <c r="BE849" s="461"/>
      <c r="BF849" s="461"/>
      <c r="BG849" s="461"/>
      <c r="BH849" s="1024"/>
    </row>
    <row r="850" spans="1:60" x14ac:dyDescent="0.25">
      <c r="A850" s="407" t="s">
        <v>329</v>
      </c>
      <c r="B850" s="404"/>
      <c r="C850" s="405"/>
      <c r="D850" s="405"/>
      <c r="E850" s="404"/>
      <c r="F850" s="404"/>
      <c r="G850" s="404"/>
      <c r="H850" s="404"/>
      <c r="I850" s="404"/>
      <c r="J850" s="404"/>
      <c r="K850" s="404"/>
      <c r="L850" s="404"/>
      <c r="M850" s="404"/>
      <c r="N850" s="404"/>
      <c r="O850" s="404"/>
      <c r="P850" s="406"/>
      <c r="Q850" s="404"/>
      <c r="R850" s="404"/>
      <c r="S850" s="404"/>
      <c r="T850" s="404"/>
      <c r="U850" s="404"/>
      <c r="V850" s="404"/>
      <c r="W850" s="404"/>
      <c r="X850" s="404"/>
      <c r="Y850" s="404"/>
      <c r="Z850" s="404"/>
      <c r="AA850" s="404"/>
      <c r="AB850" s="404"/>
      <c r="AC850" s="404"/>
      <c r="AD850" s="404"/>
      <c r="AE850" s="404"/>
      <c r="AF850" s="404"/>
      <c r="AG850" s="404"/>
      <c r="AH850" s="404"/>
      <c r="AI850" s="404"/>
      <c r="AJ850" s="404"/>
      <c r="AK850" s="404"/>
      <c r="AL850" s="404"/>
      <c r="AM850" s="404"/>
      <c r="AN850" s="404"/>
      <c r="AO850" s="404"/>
      <c r="AP850" s="404"/>
      <c r="AQ850" s="404"/>
      <c r="AR850" s="404"/>
      <c r="AS850" s="404"/>
      <c r="AT850" s="404"/>
      <c r="AU850" s="404"/>
      <c r="AV850" s="404"/>
      <c r="AW850" s="750"/>
      <c r="AX850" s="404"/>
      <c r="AY850" s="404"/>
      <c r="AZ850" s="404"/>
      <c r="BA850" s="404"/>
      <c r="BB850" s="404"/>
      <c r="BC850" s="404"/>
      <c r="BD850" s="404"/>
      <c r="BE850" s="404"/>
      <c r="BF850" s="404"/>
      <c r="BG850" s="404"/>
      <c r="BH850" s="472"/>
    </row>
    <row r="851" spans="1:60" x14ac:dyDescent="0.25">
      <c r="A851" s="408" t="s">
        <v>330</v>
      </c>
      <c r="B851" s="1021"/>
      <c r="C851" s="409">
        <f t="shared" ref="C851:AH851" si="915">INDEX(MO_Common_QEndDate,0,COLUMN())-INDEX(MO_Common_FPDays,0,COLUMN())+1</f>
        <v>39814</v>
      </c>
      <c r="D851" s="409">
        <f t="shared" si="915"/>
        <v>40179</v>
      </c>
      <c r="E851" s="410">
        <f t="shared" si="915"/>
        <v>40544</v>
      </c>
      <c r="F851" s="410">
        <f t="shared" si="915"/>
        <v>40909</v>
      </c>
      <c r="G851" s="410">
        <f t="shared" si="915"/>
        <v>41275</v>
      </c>
      <c r="H851" s="410">
        <f t="shared" si="915"/>
        <v>41365</v>
      </c>
      <c r="I851" s="410">
        <f t="shared" si="915"/>
        <v>41456</v>
      </c>
      <c r="J851" s="410">
        <f t="shared" si="915"/>
        <v>41548</v>
      </c>
      <c r="K851" s="410">
        <f t="shared" si="915"/>
        <v>41275</v>
      </c>
      <c r="L851" s="410">
        <f t="shared" si="915"/>
        <v>41640</v>
      </c>
      <c r="M851" s="410">
        <f t="shared" si="915"/>
        <v>41730</v>
      </c>
      <c r="N851" s="410">
        <f t="shared" si="915"/>
        <v>41821</v>
      </c>
      <c r="O851" s="410">
        <f t="shared" si="915"/>
        <v>41913</v>
      </c>
      <c r="P851" s="410">
        <f t="shared" si="915"/>
        <v>41640</v>
      </c>
      <c r="Q851" s="410">
        <f t="shared" si="915"/>
        <v>42005</v>
      </c>
      <c r="R851" s="410">
        <f t="shared" si="915"/>
        <v>42095</v>
      </c>
      <c r="S851" s="410">
        <f t="shared" si="915"/>
        <v>42186</v>
      </c>
      <c r="T851" s="410">
        <f t="shared" si="915"/>
        <v>42278</v>
      </c>
      <c r="U851" s="410">
        <f t="shared" si="915"/>
        <v>42005</v>
      </c>
      <c r="V851" s="410">
        <f t="shared" si="915"/>
        <v>42370</v>
      </c>
      <c r="W851" s="410">
        <f t="shared" si="915"/>
        <v>42461</v>
      </c>
      <c r="X851" s="410">
        <f t="shared" si="915"/>
        <v>42552</v>
      </c>
      <c r="Y851" s="410">
        <f t="shared" si="915"/>
        <v>42644</v>
      </c>
      <c r="Z851" s="410">
        <f t="shared" si="915"/>
        <v>42370</v>
      </c>
      <c r="AA851" s="410">
        <f t="shared" si="915"/>
        <v>42736</v>
      </c>
      <c r="AB851" s="410">
        <f t="shared" si="915"/>
        <v>42826</v>
      </c>
      <c r="AC851" s="410">
        <f t="shared" si="915"/>
        <v>42917</v>
      </c>
      <c r="AD851" s="410">
        <f t="shared" si="915"/>
        <v>43009</v>
      </c>
      <c r="AE851" s="410">
        <f t="shared" si="915"/>
        <v>42736</v>
      </c>
      <c r="AF851" s="410">
        <f t="shared" si="915"/>
        <v>43101</v>
      </c>
      <c r="AG851" s="410">
        <f t="shared" si="915"/>
        <v>43191</v>
      </c>
      <c r="AH851" s="410">
        <f t="shared" si="915"/>
        <v>43282</v>
      </c>
      <c r="AI851" s="410">
        <f t="shared" ref="AI851:AY851" si="916">INDEX(MO_Common_QEndDate,0,COLUMN())-INDEX(MO_Common_FPDays,0,COLUMN())+1</f>
        <v>43374</v>
      </c>
      <c r="AJ851" s="410">
        <f t="shared" si="916"/>
        <v>43101</v>
      </c>
      <c r="AK851" s="410">
        <f t="shared" si="916"/>
        <v>43466</v>
      </c>
      <c r="AL851" s="410">
        <f t="shared" si="916"/>
        <v>43556</v>
      </c>
      <c r="AM851" s="410">
        <f t="shared" si="916"/>
        <v>43647</v>
      </c>
      <c r="AN851" s="410">
        <f t="shared" si="916"/>
        <v>43739</v>
      </c>
      <c r="AO851" s="410">
        <f t="shared" si="916"/>
        <v>43466</v>
      </c>
      <c r="AP851" s="410">
        <f t="shared" si="916"/>
        <v>43831</v>
      </c>
      <c r="AQ851" s="410">
        <f t="shared" si="916"/>
        <v>43922</v>
      </c>
      <c r="AR851" s="410">
        <f>INDEX(MO_Common_QEndDate,0,COLUMN())-INDEX(MO_Common_FPDays,0,COLUMN())+1</f>
        <v>44013</v>
      </c>
      <c r="AS851" s="410">
        <f>INDEX(MO_Common_QEndDate,0,COLUMN())-INDEX(MO_Common_FPDays,0,COLUMN())+1</f>
        <v>44105</v>
      </c>
      <c r="AT851" s="410">
        <f>INDEX(MO_Common_QEndDate,0,COLUMN())-INDEX(MO_Common_FPDays,0,COLUMN())+1</f>
        <v>43831</v>
      </c>
      <c r="AU851" s="410">
        <f t="shared" si="916"/>
        <v>44197</v>
      </c>
      <c r="AV851" s="410">
        <f>INDEX(MO_Common_QEndDate,0,COLUMN())-INDEX(MO_Common_FPDays,0,COLUMN())+1</f>
        <v>44287</v>
      </c>
      <c r="AW851" s="751">
        <f>INDEX(MO_Common_QEndDate,0,COLUMN())-INDEX(MO_Common_FPDays,0,COLUMN())+1</f>
        <v>44378</v>
      </c>
      <c r="AX851" s="410">
        <f t="shared" si="916"/>
        <v>44470</v>
      </c>
      <c r="AY851" s="410">
        <f t="shared" si="916"/>
        <v>44197</v>
      </c>
      <c r="AZ851" s="410">
        <f t="shared" ref="AZ851:BG851" si="917">INDEX(MO_Common_QEndDate,0,COLUMN())-INDEX(MO_Common_FPDays,0,COLUMN())+1</f>
        <v>44562</v>
      </c>
      <c r="BA851" s="410">
        <f t="shared" si="917"/>
        <v>44652</v>
      </c>
      <c r="BB851" s="410">
        <f t="shared" si="917"/>
        <v>44743</v>
      </c>
      <c r="BC851" s="410">
        <f t="shared" si="917"/>
        <v>44835</v>
      </c>
      <c r="BD851" s="410">
        <f t="shared" si="917"/>
        <v>44562</v>
      </c>
      <c r="BE851" s="410">
        <f t="shared" si="917"/>
        <v>44927</v>
      </c>
      <c r="BF851" s="410">
        <f t="shared" si="917"/>
        <v>45292</v>
      </c>
      <c r="BG851" s="410">
        <f t="shared" si="917"/>
        <v>45658</v>
      </c>
      <c r="BH851" s="472"/>
    </row>
    <row r="852" spans="1:60" s="234" customFormat="1" x14ac:dyDescent="0.25">
      <c r="A852" s="408" t="s">
        <v>331</v>
      </c>
      <c r="B852" s="1021"/>
      <c r="C852" s="409" t="b">
        <f>TRUE</f>
        <v>1</v>
      </c>
      <c r="D852" s="409" t="b">
        <f>TRUE</f>
        <v>1</v>
      </c>
      <c r="E852" s="410" t="b">
        <f>TRUE</f>
        <v>1</v>
      </c>
      <c r="F852" s="410" t="b">
        <f>TRUE</f>
        <v>1</v>
      </c>
      <c r="G852" s="410" t="b">
        <f>TRUE</f>
        <v>1</v>
      </c>
      <c r="H852" s="410" t="b">
        <f>TRUE</f>
        <v>1</v>
      </c>
      <c r="I852" s="410" t="b">
        <f>TRUE</f>
        <v>1</v>
      </c>
      <c r="J852" s="410" t="b">
        <f>TRUE</f>
        <v>1</v>
      </c>
      <c r="K852" s="410" t="b">
        <f>TRUE</f>
        <v>1</v>
      </c>
      <c r="L852" s="410" t="b">
        <f>TRUE</f>
        <v>1</v>
      </c>
      <c r="M852" s="410" t="b">
        <f>TRUE</f>
        <v>1</v>
      </c>
      <c r="N852" s="410" t="b">
        <f>TRUE</f>
        <v>1</v>
      </c>
      <c r="O852" s="410" t="b">
        <f>TRUE</f>
        <v>1</v>
      </c>
      <c r="P852" s="410" t="b">
        <f>TRUE</f>
        <v>1</v>
      </c>
      <c r="Q852" s="410" t="b">
        <f>TRUE</f>
        <v>1</v>
      </c>
      <c r="R852" s="410" t="b">
        <f>TRUE</f>
        <v>1</v>
      </c>
      <c r="S852" s="410" t="b">
        <f>TRUE</f>
        <v>1</v>
      </c>
      <c r="T852" s="410" t="b">
        <f>TRUE</f>
        <v>1</v>
      </c>
      <c r="U852" s="410" t="b">
        <f>TRUE</f>
        <v>1</v>
      </c>
      <c r="V852" s="410" t="b">
        <f>TRUE</f>
        <v>1</v>
      </c>
      <c r="W852" s="410" t="b">
        <f>TRUE</f>
        <v>1</v>
      </c>
      <c r="X852" s="410" t="b">
        <f>TRUE</f>
        <v>1</v>
      </c>
      <c r="Y852" s="410" t="b">
        <f>TRUE</f>
        <v>1</v>
      </c>
      <c r="Z852" s="410" t="b">
        <f>TRUE</f>
        <v>1</v>
      </c>
      <c r="AA852" s="410" t="b">
        <f>TRUE</f>
        <v>1</v>
      </c>
      <c r="AB852" s="410" t="b">
        <f>TRUE</f>
        <v>1</v>
      </c>
      <c r="AC852" s="410" t="b">
        <f>TRUE</f>
        <v>1</v>
      </c>
      <c r="AD852" s="410" t="b">
        <f>TRUE</f>
        <v>1</v>
      </c>
      <c r="AE852" s="410" t="b">
        <f>TRUE</f>
        <v>1</v>
      </c>
      <c r="AF852" s="410" t="b">
        <f>TRUE</f>
        <v>1</v>
      </c>
      <c r="AG852" s="410" t="b">
        <f>TRUE</f>
        <v>1</v>
      </c>
      <c r="AH852" s="410" t="b">
        <f>TRUE</f>
        <v>1</v>
      </c>
      <c r="AI852" s="410" t="b">
        <f>TRUE</f>
        <v>1</v>
      </c>
      <c r="AJ852" s="410" t="b">
        <f>TRUE</f>
        <v>1</v>
      </c>
      <c r="AK852" s="410" t="b">
        <f>TRUE</f>
        <v>1</v>
      </c>
      <c r="AL852" s="410" t="b">
        <f>TRUE</f>
        <v>1</v>
      </c>
      <c r="AM852" s="410" t="b">
        <f>TRUE</f>
        <v>1</v>
      </c>
      <c r="AN852" s="410" t="b">
        <f>TRUE</f>
        <v>1</v>
      </c>
      <c r="AO852" s="410" t="b">
        <f>TRUE</f>
        <v>1</v>
      </c>
      <c r="AP852" s="410" t="b">
        <f>TRUE</f>
        <v>1</v>
      </c>
      <c r="AQ852" s="410" t="b">
        <f>TRUE</f>
        <v>1</v>
      </c>
      <c r="AR852" s="410" t="b">
        <f>TRUE</f>
        <v>1</v>
      </c>
      <c r="AS852" s="410" t="b">
        <f>TRUE</f>
        <v>1</v>
      </c>
      <c r="AT852" s="410" t="b">
        <f>TRUE</f>
        <v>1</v>
      </c>
      <c r="AU852" s="410" t="b">
        <f>TRUE</f>
        <v>1</v>
      </c>
      <c r="AV852" s="410" t="b">
        <f>TRUE</f>
        <v>1</v>
      </c>
      <c r="AW852" s="751" t="b">
        <f>TRUE</f>
        <v>1</v>
      </c>
      <c r="AX852" s="410" t="b">
        <f>FALSE</f>
        <v>0</v>
      </c>
      <c r="AY852" s="410" t="b">
        <f>FALSE</f>
        <v>0</v>
      </c>
      <c r="AZ852" s="410" t="b">
        <f>FALSE</f>
        <v>0</v>
      </c>
      <c r="BA852" s="410" t="b">
        <f>FALSE</f>
        <v>0</v>
      </c>
      <c r="BB852" s="410" t="b">
        <f>FALSE</f>
        <v>0</v>
      </c>
      <c r="BC852" s="410" t="b">
        <f>FALSE</f>
        <v>0</v>
      </c>
      <c r="BD852" s="410" t="b">
        <f>FALSE</f>
        <v>0</v>
      </c>
      <c r="BE852" s="410" t="b">
        <f>FALSE</f>
        <v>0</v>
      </c>
      <c r="BF852" s="410" t="b">
        <f>FALSE</f>
        <v>0</v>
      </c>
      <c r="BG852" s="410" t="b">
        <f>FALSE</f>
        <v>0</v>
      </c>
      <c r="BH852" s="472"/>
    </row>
    <row r="853" spans="1:60" s="415" customFormat="1" x14ac:dyDescent="0.25">
      <c r="A853" s="411" t="str">
        <f ca="1">"Stock High: "&amp;IF(OR(MO.RealTimeStockPriceToggle=FALSE,VLOOKUP(MO.DataSourceName,MO_SPT_StockHigh_Sources,COLUMN()+2,FALSE)="N/A"),"Real-Time Off Source",MO.DataSourceName)</f>
        <v>Stock High: Real-Time Off Source</v>
      </c>
      <c r="B853" s="412"/>
      <c r="C853" s="413">
        <f t="shared" ref="C853:AH853" ca="1" si="918">IF(OR(MO.RealTimeStockPriceToggle=FALSE,VLOOKUP(MO.DataSourceName,MO_SPT_StockHigh_Sources,COLUMN(),FALSE)="N/A"),VLOOKUP("Real-Time Off Source",MO_SPT_StockHigh_Sources,COLUMN(),FALSE),VLOOKUP(MO.DataSourceName,MO_SPT_StockHigh_Sources,COLUMN(),FALSE))</f>
        <v>0</v>
      </c>
      <c r="D853" s="413">
        <f t="shared" ca="1" si="918"/>
        <v>7.0940000000000003</v>
      </c>
      <c r="E853" s="412">
        <f t="shared" ca="1" si="918"/>
        <v>6.9880000000000004</v>
      </c>
      <c r="F853" s="412">
        <f t="shared" ca="1" si="918"/>
        <v>7.6020000000000003</v>
      </c>
      <c r="G853" s="412">
        <f t="shared" ca="1" si="918"/>
        <v>7.8959999999999999</v>
      </c>
      <c r="H853" s="412">
        <f t="shared" ca="1" si="918"/>
        <v>22.066800000000001</v>
      </c>
      <c r="I853" s="412">
        <f t="shared" ca="1" si="918"/>
        <v>38.673999999999999</v>
      </c>
      <c r="J853" s="412">
        <f t="shared" ca="1" si="918"/>
        <v>38.6</v>
      </c>
      <c r="K853" s="412">
        <f t="shared" ca="1" si="918"/>
        <v>38.673999999999999</v>
      </c>
      <c r="L853" s="412">
        <f t="shared" ca="1" si="918"/>
        <v>50.968000000000004</v>
      </c>
      <c r="M853" s="412">
        <f t="shared" ca="1" si="918"/>
        <v>48.012</v>
      </c>
      <c r="N853" s="412">
        <f t="shared" ca="1" si="918"/>
        <v>57.207999999999998</v>
      </c>
      <c r="O853" s="412">
        <f t="shared" ca="1" si="918"/>
        <v>52.124000000000002</v>
      </c>
      <c r="P853" s="412">
        <f t="shared" ca="1" si="918"/>
        <v>57.207999999999998</v>
      </c>
      <c r="Q853" s="412">
        <f t="shared" ca="1" si="918"/>
        <v>44.198</v>
      </c>
      <c r="R853" s="412">
        <f t="shared" ca="1" si="918"/>
        <v>53.758000000000003</v>
      </c>
      <c r="S853" s="412">
        <f t="shared" ca="1" si="918"/>
        <v>56.451999999999998</v>
      </c>
      <c r="T853" s="412">
        <f t="shared" ca="1" si="918"/>
        <v>49.514000000000003</v>
      </c>
      <c r="U853" s="412">
        <f t="shared" ca="1" si="918"/>
        <v>56.451999999999998</v>
      </c>
      <c r="V853" s="412">
        <f t="shared" ca="1" si="918"/>
        <v>47.664000000000001</v>
      </c>
      <c r="W853" s="412">
        <f t="shared" ca="1" si="918"/>
        <v>53.084000000000003</v>
      </c>
      <c r="X853" s="412">
        <f t="shared" ca="1" si="918"/>
        <v>46.957999999999998</v>
      </c>
      <c r="Y853" s="412">
        <f t="shared" ca="1" si="918"/>
        <v>43.948</v>
      </c>
      <c r="Z853" s="412">
        <f t="shared" ca="1" si="918"/>
        <v>53.084000000000003</v>
      </c>
      <c r="AA853" s="412">
        <f t="shared" ca="1" si="918"/>
        <v>56.195999999999998</v>
      </c>
      <c r="AB853" s="412">
        <f t="shared" ca="1" si="918"/>
        <v>76.69</v>
      </c>
      <c r="AC853" s="412">
        <f t="shared" ca="1" si="918"/>
        <v>77</v>
      </c>
      <c r="AD853" s="412">
        <f t="shared" ca="1" si="918"/>
        <v>71.930000000000007</v>
      </c>
      <c r="AE853" s="412">
        <f t="shared" ca="1" si="918"/>
        <v>77</v>
      </c>
      <c r="AF853" s="412">
        <f t="shared" ca="1" si="918"/>
        <v>71.483999999999995</v>
      </c>
      <c r="AG853" s="412">
        <f t="shared" ca="1" si="918"/>
        <v>74.165999999999997</v>
      </c>
      <c r="AH853" s="412">
        <f t="shared" ca="1" si="918"/>
        <v>75.914000000000001</v>
      </c>
      <c r="AI853" s="412">
        <f t="shared" ref="AI853:AY853" ca="1" si="919">IF(OR(MO.RealTimeStockPriceToggle=FALSE,VLOOKUP(MO.DataSourceName,MO_SPT_StockHigh_Sources,COLUMN(),FALSE)="N/A"),VLOOKUP("Real-Time Off Source",MO_SPT_StockHigh_Sources,COLUMN(),FALSE),VLOOKUP(MO.DataSourceName,MO_SPT_StockHigh_Sources,COLUMN(),FALSE))</f>
        <v>75.358000000000004</v>
      </c>
      <c r="AJ853" s="412">
        <f t="shared" ca="1" si="919"/>
        <v>75.914000000000001</v>
      </c>
      <c r="AK853" s="412">
        <f t="shared" ca="1" si="919"/>
        <v>69.462000000000003</v>
      </c>
      <c r="AL853" s="412">
        <f t="shared" ca="1" si="919"/>
        <v>58.362000000000002</v>
      </c>
      <c r="AM853" s="412">
        <f t="shared" ca="1" si="919"/>
        <v>52.975999999999999</v>
      </c>
      <c r="AN853" s="412">
        <f t="shared" ca="1" si="919"/>
        <v>86.188000000000002</v>
      </c>
      <c r="AO853" s="412">
        <f t="shared" ca="1" si="919"/>
        <v>86.188000000000002</v>
      </c>
      <c r="AP853" s="412">
        <f t="shared" ca="1" si="919"/>
        <v>183.48400000000001</v>
      </c>
      <c r="AQ853" s="412">
        <f t="shared" ca="1" si="919"/>
        <v>215.96199999999999</v>
      </c>
      <c r="AR853" s="412">
        <f ca="1">IF(OR(MO.RealTimeStockPriceToggle=FALSE,VLOOKUP(MO.DataSourceName,MO_SPT_StockHigh_Sources,COLUMN(),FALSE)="N/A"),VLOOKUP("Real-Time Off Source",MO_SPT_StockHigh_Sources,COLUMN(),FALSE),VLOOKUP(MO.DataSourceName,MO_SPT_StockHigh_Sources,COLUMN(),FALSE))</f>
        <v>498.32</v>
      </c>
      <c r="AS853" s="412">
        <f ca="1">IF(OR(MO.RealTimeStockPriceToggle=FALSE,VLOOKUP(MO.DataSourceName,MO_SPT_StockHigh_Sources,COLUMN(),FALSE)="N/A"),VLOOKUP("Real-Time Off Source",MO_SPT_StockHigh_Sources,COLUMN(),FALSE),VLOOKUP(MO.DataSourceName,MO_SPT_StockHigh_Sources,COLUMN(),FALSE))</f>
        <v>705.67</v>
      </c>
      <c r="AT853" s="412">
        <f ca="1">IF(OR(MO.RealTimeStockPriceToggle=FALSE,VLOOKUP(MO.DataSourceName,MO_SPT_StockHigh_Sources,COLUMN(),FALSE)="N/A"),VLOOKUP("Real-Time Off Source",MO_SPT_StockHigh_Sources,COLUMN(),FALSE),VLOOKUP(MO.DataSourceName,MO_SPT_StockHigh_Sources,COLUMN(),FALSE))</f>
        <v>705.67</v>
      </c>
      <c r="AU853" s="412">
        <f t="shared" ca="1" si="919"/>
        <v>883.09</v>
      </c>
      <c r="AV853" s="412">
        <f ca="1">IF(OR(MO.RealTimeStockPriceToggle=FALSE,VLOOKUP(MO.DataSourceName,MO_SPT_StockHigh_Sources,COLUMN(),FALSE)="N/A"),VLOOKUP("Real-Time Off Source",MO_SPT_StockHigh_Sources,COLUMN(),FALSE),VLOOKUP(MO.DataSourceName,MO_SPT_StockHigh_Sources,COLUMN(),FALSE))</f>
        <v>762.32</v>
      </c>
      <c r="AW853" s="752">
        <f ca="1">IF(OR(MO.RealTimeStockPriceToggle=FALSE,VLOOKUP(MO.DataSourceName,MO_SPT_StockHigh_Sources,COLUMN(),FALSE)="N/A"),VLOOKUP("Real-Time Off Source",MO_SPT_StockHigh_Sources,COLUMN(),FALSE),VLOOKUP(MO.DataSourceName,MO_SPT_StockHigh_Sources,COLUMN(),FALSE))</f>
        <v>791.36</v>
      </c>
      <c r="AX853" s="412">
        <f t="shared" ca="1" si="919"/>
        <v>0</v>
      </c>
      <c r="AY853" s="412">
        <f t="shared" ca="1" si="919"/>
        <v>0</v>
      </c>
      <c r="AZ853" s="412">
        <f t="shared" ref="AZ853:BG853" ca="1" si="920">IF(OR(MO.RealTimeStockPriceToggle=FALSE,VLOOKUP(MO.DataSourceName,MO_SPT_StockHigh_Sources,COLUMN(),FALSE)="N/A"),VLOOKUP("Real-Time Off Source",MO_SPT_StockHigh_Sources,COLUMN(),FALSE),VLOOKUP(MO.DataSourceName,MO_SPT_StockHigh_Sources,COLUMN(),FALSE))</f>
        <v>0</v>
      </c>
      <c r="BA853" s="412">
        <f t="shared" ca="1" si="920"/>
        <v>0</v>
      </c>
      <c r="BB853" s="412">
        <f t="shared" ca="1" si="920"/>
        <v>0</v>
      </c>
      <c r="BC853" s="412">
        <f t="shared" ca="1" si="920"/>
        <v>0</v>
      </c>
      <c r="BD853" s="412">
        <f t="shared" ca="1" si="920"/>
        <v>0</v>
      </c>
      <c r="BE853" s="412">
        <f t="shared" ca="1" si="920"/>
        <v>0</v>
      </c>
      <c r="BF853" s="412">
        <f t="shared" ca="1" si="920"/>
        <v>0</v>
      </c>
      <c r="BG853" s="412">
        <f t="shared" ca="1" si="920"/>
        <v>0</v>
      </c>
      <c r="BH853" s="476"/>
    </row>
    <row r="854" spans="1:60" s="415" customFormat="1" hidden="1" outlineLevel="1" x14ac:dyDescent="0.25">
      <c r="A854" s="416" t="s">
        <v>332</v>
      </c>
      <c r="B854" s="412"/>
      <c r="C854" s="413">
        <v>0</v>
      </c>
      <c r="D854" s="413">
        <v>7.0940000000000003</v>
      </c>
      <c r="E854" s="412">
        <v>6.9880000000000004</v>
      </c>
      <c r="F854" s="412">
        <v>7.6020000000000003</v>
      </c>
      <c r="G854" s="412">
        <v>7.8959999999999999</v>
      </c>
      <c r="H854" s="412">
        <v>22.066800000000001</v>
      </c>
      <c r="I854" s="412">
        <v>38.673999999999999</v>
      </c>
      <c r="J854" s="412">
        <v>38.6</v>
      </c>
      <c r="K854" s="412">
        <v>38.673999999999999</v>
      </c>
      <c r="L854" s="412">
        <v>50.968000000000004</v>
      </c>
      <c r="M854" s="412">
        <v>48.012</v>
      </c>
      <c r="N854" s="412">
        <v>57.207999999999998</v>
      </c>
      <c r="O854" s="412">
        <v>52.124000000000002</v>
      </c>
      <c r="P854" s="412">
        <v>57.207999999999998</v>
      </c>
      <c r="Q854" s="412">
        <v>44.198</v>
      </c>
      <c r="R854" s="412">
        <v>53.758000000000003</v>
      </c>
      <c r="S854" s="412">
        <v>56.451999999999998</v>
      </c>
      <c r="T854" s="412">
        <v>49.514000000000003</v>
      </c>
      <c r="U854" s="412">
        <v>56.451999999999998</v>
      </c>
      <c r="V854" s="412">
        <v>47.664000000000001</v>
      </c>
      <c r="W854" s="412">
        <v>53.084000000000003</v>
      </c>
      <c r="X854" s="412">
        <v>46.957999999999998</v>
      </c>
      <c r="Y854" s="412">
        <v>43.948</v>
      </c>
      <c r="Z854" s="412">
        <v>53.084000000000003</v>
      </c>
      <c r="AA854" s="412">
        <v>56.195999999999998</v>
      </c>
      <c r="AB854" s="412">
        <v>76.69</v>
      </c>
      <c r="AC854" s="412">
        <v>77</v>
      </c>
      <c r="AD854" s="412">
        <v>71.930000000000007</v>
      </c>
      <c r="AE854" s="412">
        <v>77</v>
      </c>
      <c r="AF854" s="412">
        <v>71.483999999999995</v>
      </c>
      <c r="AG854" s="412">
        <v>74.165999999999997</v>
      </c>
      <c r="AH854" s="412">
        <v>75.914000000000001</v>
      </c>
      <c r="AI854" s="412">
        <v>75.358000000000004</v>
      </c>
      <c r="AJ854" s="412">
        <v>75.914000000000001</v>
      </c>
      <c r="AK854" s="412">
        <v>69.462000000000003</v>
      </c>
      <c r="AL854" s="412">
        <v>58.362000000000002</v>
      </c>
      <c r="AM854" s="412">
        <v>52.975999999999999</v>
      </c>
      <c r="AN854" s="412">
        <v>86.188000000000002</v>
      </c>
      <c r="AO854" s="412">
        <v>86.188000000000002</v>
      </c>
      <c r="AP854" s="412">
        <v>183.48400000000001</v>
      </c>
      <c r="AQ854" s="412">
        <v>215.96199999999999</v>
      </c>
      <c r="AR854" s="412">
        <v>498.32</v>
      </c>
      <c r="AS854" s="412">
        <v>705.67</v>
      </c>
      <c r="AT854" s="412">
        <v>705.67</v>
      </c>
      <c r="AU854" s="412">
        <v>883.09</v>
      </c>
      <c r="AV854" s="412">
        <v>762.32</v>
      </c>
      <c r="AW854" s="752">
        <v>791.36</v>
      </c>
      <c r="AX854" s="412"/>
      <c r="AY854" s="412"/>
      <c r="AZ854" s="412"/>
      <c r="BA854" s="412"/>
      <c r="BB854" s="412"/>
      <c r="BC854" s="412"/>
      <c r="BD854" s="412"/>
      <c r="BE854" s="412"/>
      <c r="BF854" s="412"/>
      <c r="BG854" s="412"/>
      <c r="BH854" s="476"/>
    </row>
    <row r="855" spans="1:60" s="415" customFormat="1" hidden="1" outlineLevel="1" x14ac:dyDescent="0.25">
      <c r="A855" s="416" t="s">
        <v>7</v>
      </c>
      <c r="B855" s="412"/>
      <c r="C855" s="413" t="str">
        <f ca="1">IFERROR(BDP(MO.Ticker.Bloomberg&amp;" Equity","INTERVAL_HIGH","MARKET_DATA_OVERRIDE=PX_LAST","START_DATE_OVERRIDE",TEXT(INDEX(MO_SNA_FPStartDate,0,COLUMN()),"YYYYMMDD"),"END_DATE_OVERRIDE",TEXT(INDEX(MO_Common_QEndDate,0,COLUMN()),"YYYYMMDD")),"N/A")</f>
        <v>N/A</v>
      </c>
      <c r="D855" s="413" t="str">
        <f ca="1">IFERROR(BDP(MO.Ticker.Bloomberg&amp;" Equity","INTERVAL_HIGH","MARKET_DATA_OVERRIDE=PX_LAST","START_DATE_OVERRIDE",TEXT(INDEX(MO_SNA_FPStartDate,0,COLUMN()),"YYYYMMDD"),"END_DATE_OVERRIDE",TEXT(INDEX(MO_Common_QEndDate,0,COLUMN()),"YYYYMMDD")),"N/A")</f>
        <v>N/A</v>
      </c>
      <c r="E855" s="412" t="str">
        <f ca="1">IFERROR(BDP(MO.Ticker.Bloomberg&amp;" Equity","INTERVAL_HIGH","MARKET_DATA_OVERRIDE=PX_LAST","START_DATE_OVERRIDE",TEXT(INDEX(MO_SNA_FPStartDate,0,COLUMN()),"YYYYMMDD"),"END_DATE_OVERRIDE",TEXT(INDEX(MO_Common_QEndDate,0,COLUMN()),"YYYYMMDD")),"N/A")</f>
        <v>N/A</v>
      </c>
      <c r="F855" s="412" t="str">
        <f ca="1">IFERROR(BDP(MO.Ticker.Bloomberg&amp;" Equity","INTERVAL_HIGH","MARKET_DATA_OVERRIDE=PX_LAST","START_DATE_OVERRIDE",TEXT(INDEX(MO_SNA_FPStartDate,0,COLUMN()),"YYYYMMDD"),"END_DATE_OVERRIDE",TEXT(INDEX(MO_Common_QEndDate,0,COLUMN()),"YYYYMMDD")),"N/A")</f>
        <v>N/A</v>
      </c>
      <c r="G855" s="412" t="str">
        <f ca="1">IFERROR(BDP(MO.Ticker.Bloomberg&amp;" Equity","INTERVAL_HIGH","MARKET_DATA_OVERRIDE=PX_LAST","START_DATE_OVERRIDE",TEXT(INDEX(MO_SNA_FPStartDate,0,COLUMN()),"YYYYMMDD"),"END_DATE_OVERRIDE",TEXT(INDEX(MO_Common_QEndDate,0,COLUMN()),"YYYYMMDD")),"N/A")</f>
        <v>N/A</v>
      </c>
      <c r="H855" s="412" t="str">
        <f ca="1">IFERROR(BDP(MO.Ticker.Bloomberg&amp;" Equity","INTERVAL_HIGH","MARKET_DATA_OVERRIDE=PX_LAST","START_DATE_OVERRIDE",TEXT(INDEX(MO_SNA_FPStartDate,0,COLUMN()),"YYYYMMDD"),"END_DATE_OVERRIDE",TEXT(INDEX(MO_Common_QEndDate,0,COLUMN()),"YYYYMMDD")),"N/A")</f>
        <v>N/A</v>
      </c>
      <c r="I855" s="412" t="str">
        <f ca="1">IFERROR(BDP(MO.Ticker.Bloomberg&amp;" Equity","INTERVAL_HIGH","MARKET_DATA_OVERRIDE=PX_LAST","START_DATE_OVERRIDE",TEXT(INDEX(MO_SNA_FPStartDate,0,COLUMN()),"YYYYMMDD"),"END_DATE_OVERRIDE",TEXT(INDEX(MO_Common_QEndDate,0,COLUMN()),"YYYYMMDD")),"N/A")</f>
        <v>N/A</v>
      </c>
      <c r="J855" s="412" t="str">
        <f ca="1">IFERROR(BDP(MO.Ticker.Bloomberg&amp;" Equity","INTERVAL_HIGH","MARKET_DATA_OVERRIDE=PX_LAST","START_DATE_OVERRIDE",TEXT(INDEX(MO_SNA_FPStartDate,0,COLUMN()),"YYYYMMDD"),"END_DATE_OVERRIDE",TEXT(INDEX(MO_Common_QEndDate,0,COLUMN()),"YYYYMMDD")),"N/A")</f>
        <v>N/A</v>
      </c>
      <c r="K855" s="412" t="str">
        <f ca="1">IFERROR(BDP(MO.Ticker.Bloomberg&amp;" Equity","INTERVAL_HIGH","MARKET_DATA_OVERRIDE=PX_LAST","START_DATE_OVERRIDE",TEXT(INDEX(MO_SNA_FPStartDate,0,COLUMN()),"YYYYMMDD"),"END_DATE_OVERRIDE",TEXT(INDEX(MO_Common_QEndDate,0,COLUMN()),"YYYYMMDD")),"N/A")</f>
        <v>N/A</v>
      </c>
      <c r="L855" s="412" t="str">
        <f ca="1">IFERROR(BDP(MO.Ticker.Bloomberg&amp;" Equity","INTERVAL_HIGH","MARKET_DATA_OVERRIDE=PX_LAST","START_DATE_OVERRIDE",TEXT(INDEX(MO_SNA_FPStartDate,0,COLUMN()),"YYYYMMDD"),"END_DATE_OVERRIDE",TEXT(INDEX(MO_Common_QEndDate,0,COLUMN()),"YYYYMMDD")),"N/A")</f>
        <v>N/A</v>
      </c>
      <c r="M855" s="412" t="str">
        <f ca="1">IFERROR(BDP(MO.Ticker.Bloomberg&amp;" Equity","INTERVAL_HIGH","MARKET_DATA_OVERRIDE=PX_LAST","START_DATE_OVERRIDE",TEXT(INDEX(MO_SNA_FPStartDate,0,COLUMN()),"YYYYMMDD"),"END_DATE_OVERRIDE",TEXT(INDEX(MO_Common_QEndDate,0,COLUMN()),"YYYYMMDD")),"N/A")</f>
        <v>N/A</v>
      </c>
      <c r="N855" s="412" t="str">
        <f ca="1">IFERROR(BDP(MO.Ticker.Bloomberg&amp;" Equity","INTERVAL_HIGH","MARKET_DATA_OVERRIDE=PX_LAST","START_DATE_OVERRIDE",TEXT(INDEX(MO_SNA_FPStartDate,0,COLUMN()),"YYYYMMDD"),"END_DATE_OVERRIDE",TEXT(INDEX(MO_Common_QEndDate,0,COLUMN()),"YYYYMMDD")),"N/A")</f>
        <v>N/A</v>
      </c>
      <c r="O855" s="412" t="str">
        <f ca="1">IFERROR(BDP(MO.Ticker.Bloomberg&amp;" Equity","INTERVAL_HIGH","MARKET_DATA_OVERRIDE=PX_LAST","START_DATE_OVERRIDE",TEXT(INDEX(MO_SNA_FPStartDate,0,COLUMN()),"YYYYMMDD"),"END_DATE_OVERRIDE",TEXT(INDEX(MO_Common_QEndDate,0,COLUMN()),"YYYYMMDD")),"N/A")</f>
        <v>N/A</v>
      </c>
      <c r="P855" s="412" t="str">
        <f ca="1">IFERROR(BDP(MO.Ticker.Bloomberg&amp;" Equity","INTERVAL_HIGH","MARKET_DATA_OVERRIDE=PX_LAST","START_DATE_OVERRIDE",TEXT(INDEX(MO_SNA_FPStartDate,0,COLUMN()),"YYYYMMDD"),"END_DATE_OVERRIDE",TEXT(INDEX(MO_Common_QEndDate,0,COLUMN()),"YYYYMMDD")),"N/A")</f>
        <v>N/A</v>
      </c>
      <c r="Q855" s="412" t="str">
        <f ca="1">IFERROR(BDP(MO.Ticker.Bloomberg&amp;" Equity","INTERVAL_HIGH","MARKET_DATA_OVERRIDE=PX_LAST","START_DATE_OVERRIDE",TEXT(INDEX(MO_SNA_FPStartDate,0,COLUMN()),"YYYYMMDD"),"END_DATE_OVERRIDE",TEXT(INDEX(MO_Common_QEndDate,0,COLUMN()),"YYYYMMDD")),"N/A")</f>
        <v>N/A</v>
      </c>
      <c r="R855" s="412" t="str">
        <f ca="1">IFERROR(BDP(MO.Ticker.Bloomberg&amp;" Equity","INTERVAL_HIGH","MARKET_DATA_OVERRIDE=PX_LAST","START_DATE_OVERRIDE",TEXT(INDEX(MO_SNA_FPStartDate,0,COLUMN()),"YYYYMMDD"),"END_DATE_OVERRIDE",TEXT(INDEX(MO_Common_QEndDate,0,COLUMN()),"YYYYMMDD")),"N/A")</f>
        <v>N/A</v>
      </c>
      <c r="S855" s="412" t="str">
        <f ca="1">IFERROR(BDP(MO.Ticker.Bloomberg&amp;" Equity","INTERVAL_HIGH","MARKET_DATA_OVERRIDE=PX_LAST","START_DATE_OVERRIDE",TEXT(INDEX(MO_SNA_FPStartDate,0,COLUMN()),"YYYYMMDD"),"END_DATE_OVERRIDE",TEXT(INDEX(MO_Common_QEndDate,0,COLUMN()),"YYYYMMDD")),"N/A")</f>
        <v>N/A</v>
      </c>
      <c r="T855" s="412" t="str">
        <f ca="1">IFERROR(BDP(MO.Ticker.Bloomberg&amp;" Equity","INTERVAL_HIGH","MARKET_DATA_OVERRIDE=PX_LAST","START_DATE_OVERRIDE",TEXT(INDEX(MO_SNA_FPStartDate,0,COLUMN()),"YYYYMMDD"),"END_DATE_OVERRIDE",TEXT(INDEX(MO_Common_QEndDate,0,COLUMN()),"YYYYMMDD")),"N/A")</f>
        <v>N/A</v>
      </c>
      <c r="U855" s="412" t="str">
        <f ca="1">IFERROR(BDP(MO.Ticker.Bloomberg&amp;" Equity","INTERVAL_HIGH","MARKET_DATA_OVERRIDE=PX_LAST","START_DATE_OVERRIDE",TEXT(INDEX(MO_SNA_FPStartDate,0,COLUMN()),"YYYYMMDD"),"END_DATE_OVERRIDE",TEXT(INDEX(MO_Common_QEndDate,0,COLUMN()),"YYYYMMDD")),"N/A")</f>
        <v>N/A</v>
      </c>
      <c r="V855" s="412" t="str">
        <f ca="1">IFERROR(BDP(MO.Ticker.Bloomberg&amp;" Equity","INTERVAL_HIGH","MARKET_DATA_OVERRIDE=PX_LAST","START_DATE_OVERRIDE",TEXT(INDEX(MO_SNA_FPStartDate,0,COLUMN()),"YYYYMMDD"),"END_DATE_OVERRIDE",TEXT(INDEX(MO_Common_QEndDate,0,COLUMN()),"YYYYMMDD")),"N/A")</f>
        <v>N/A</v>
      </c>
      <c r="W855" s="412" t="str">
        <f ca="1">IFERROR(BDP(MO.Ticker.Bloomberg&amp;" Equity","INTERVAL_HIGH","MARKET_DATA_OVERRIDE=PX_LAST","START_DATE_OVERRIDE",TEXT(INDEX(MO_SNA_FPStartDate,0,COLUMN()),"YYYYMMDD"),"END_DATE_OVERRIDE",TEXT(INDEX(MO_Common_QEndDate,0,COLUMN()),"YYYYMMDD")),"N/A")</f>
        <v>N/A</v>
      </c>
      <c r="X855" s="412" t="str">
        <f ca="1">IFERROR(BDP(MO.Ticker.Bloomberg&amp;" Equity","INTERVAL_HIGH","MARKET_DATA_OVERRIDE=PX_LAST","START_DATE_OVERRIDE",TEXT(INDEX(MO_SNA_FPStartDate,0,COLUMN()),"YYYYMMDD"),"END_DATE_OVERRIDE",TEXT(INDEX(MO_Common_QEndDate,0,COLUMN()),"YYYYMMDD")),"N/A")</f>
        <v>N/A</v>
      </c>
      <c r="Y855" s="412" t="str">
        <f ca="1">IFERROR(BDP(MO.Ticker.Bloomberg&amp;" Equity","INTERVAL_HIGH","MARKET_DATA_OVERRIDE=PX_LAST","START_DATE_OVERRIDE",TEXT(INDEX(MO_SNA_FPStartDate,0,COLUMN()),"YYYYMMDD"),"END_DATE_OVERRIDE",TEXT(INDEX(MO_Common_QEndDate,0,COLUMN()),"YYYYMMDD")),"N/A")</f>
        <v>N/A</v>
      </c>
      <c r="Z855" s="412" t="str">
        <f ca="1">IFERROR(BDP(MO.Ticker.Bloomberg&amp;" Equity","INTERVAL_HIGH","MARKET_DATA_OVERRIDE=PX_LAST","START_DATE_OVERRIDE",TEXT(INDEX(MO_SNA_FPStartDate,0,COLUMN()),"YYYYMMDD"),"END_DATE_OVERRIDE",TEXT(INDEX(MO_Common_QEndDate,0,COLUMN()),"YYYYMMDD")),"N/A")</f>
        <v>N/A</v>
      </c>
      <c r="AA855" s="412" t="str">
        <f ca="1">IFERROR(BDP(MO.Ticker.Bloomberg&amp;" Equity","INTERVAL_HIGH","MARKET_DATA_OVERRIDE=PX_LAST","START_DATE_OVERRIDE",TEXT(INDEX(MO_SNA_FPStartDate,0,COLUMN()),"YYYYMMDD"),"END_DATE_OVERRIDE",TEXT(INDEX(MO_Common_QEndDate,0,COLUMN()),"YYYYMMDD")),"N/A")</f>
        <v>N/A</v>
      </c>
      <c r="AB855" s="412" t="str">
        <f ca="1">IFERROR(BDP(MO.Ticker.Bloomberg&amp;" Equity","INTERVAL_HIGH","MARKET_DATA_OVERRIDE=PX_LAST","START_DATE_OVERRIDE",TEXT(INDEX(MO_SNA_FPStartDate,0,COLUMN()),"YYYYMMDD"),"END_DATE_OVERRIDE",TEXT(INDEX(MO_Common_QEndDate,0,COLUMN()),"YYYYMMDD")),"N/A")</f>
        <v>N/A</v>
      </c>
      <c r="AC855" s="412" t="str">
        <f ca="1">IFERROR(BDP(MO.Ticker.Bloomberg&amp;" Equity","INTERVAL_HIGH","MARKET_DATA_OVERRIDE=PX_LAST","START_DATE_OVERRIDE",TEXT(INDEX(MO_SNA_FPStartDate,0,COLUMN()),"YYYYMMDD"),"END_DATE_OVERRIDE",TEXT(INDEX(MO_Common_QEndDate,0,COLUMN()),"YYYYMMDD")),"N/A")</f>
        <v>N/A</v>
      </c>
      <c r="AD855" s="412" t="str">
        <f ca="1">IFERROR(BDP(MO.Ticker.Bloomberg&amp;" Equity","INTERVAL_HIGH","MARKET_DATA_OVERRIDE=PX_LAST","START_DATE_OVERRIDE",TEXT(INDEX(MO_SNA_FPStartDate,0,COLUMN()),"YYYYMMDD"),"END_DATE_OVERRIDE",TEXT(INDEX(MO_Common_QEndDate,0,COLUMN()),"YYYYMMDD")),"N/A")</f>
        <v>N/A</v>
      </c>
      <c r="AE855" s="412" t="str">
        <f ca="1">IFERROR(BDP(MO.Ticker.Bloomberg&amp;" Equity","INTERVAL_HIGH","MARKET_DATA_OVERRIDE=PX_LAST","START_DATE_OVERRIDE",TEXT(INDEX(MO_SNA_FPStartDate,0,COLUMN()),"YYYYMMDD"),"END_DATE_OVERRIDE",TEXT(INDEX(MO_Common_QEndDate,0,COLUMN()),"YYYYMMDD")),"N/A")</f>
        <v>N/A</v>
      </c>
      <c r="AF855" s="412" t="str">
        <f ca="1">IFERROR(BDP(MO.Ticker.Bloomberg&amp;" Equity","INTERVAL_HIGH","MARKET_DATA_OVERRIDE=PX_LAST","START_DATE_OVERRIDE",TEXT(INDEX(MO_SNA_FPStartDate,0,COLUMN()),"YYYYMMDD"),"END_DATE_OVERRIDE",TEXT(INDEX(MO_Common_QEndDate,0,COLUMN()),"YYYYMMDD")),"N/A")</f>
        <v>N/A</v>
      </c>
      <c r="AG855" s="412" t="str">
        <f ca="1">IFERROR(BDP(MO.Ticker.Bloomberg&amp;" Equity","INTERVAL_HIGH","MARKET_DATA_OVERRIDE=PX_LAST","START_DATE_OVERRIDE",TEXT(INDEX(MO_SNA_FPStartDate,0,COLUMN()),"YYYYMMDD"),"END_DATE_OVERRIDE",TEXT(INDEX(MO_Common_QEndDate,0,COLUMN()),"YYYYMMDD")),"N/A")</f>
        <v>N/A</v>
      </c>
      <c r="AH855" s="412" t="str">
        <f ca="1">IFERROR(BDP(MO.Ticker.Bloomberg&amp;" Equity","INTERVAL_HIGH","MARKET_DATA_OVERRIDE=PX_LAST","START_DATE_OVERRIDE",TEXT(INDEX(MO_SNA_FPStartDate,0,COLUMN()),"YYYYMMDD"),"END_DATE_OVERRIDE",TEXT(INDEX(MO_Common_QEndDate,0,COLUMN()),"YYYYMMDD")),"N/A")</f>
        <v>N/A</v>
      </c>
      <c r="AI855" s="412" t="str">
        <f ca="1">IFERROR(BDP(MO.Ticker.Bloomberg&amp;" Equity","INTERVAL_HIGH","MARKET_DATA_OVERRIDE=PX_LAST","START_DATE_OVERRIDE",TEXT(INDEX(MO_SNA_FPStartDate,0,COLUMN()),"YYYYMMDD"),"END_DATE_OVERRIDE",TEXT(INDEX(MO_Common_QEndDate,0,COLUMN()),"YYYYMMDD")),"N/A")</f>
        <v>N/A</v>
      </c>
      <c r="AJ855" s="412" t="str">
        <f ca="1">IFERROR(BDP(MO.Ticker.Bloomberg&amp;" Equity","INTERVAL_HIGH","MARKET_DATA_OVERRIDE=PX_LAST","START_DATE_OVERRIDE",TEXT(INDEX(MO_SNA_FPStartDate,0,COLUMN()),"YYYYMMDD"),"END_DATE_OVERRIDE",TEXT(INDEX(MO_Common_QEndDate,0,COLUMN()),"YYYYMMDD")),"N/A")</f>
        <v>N/A</v>
      </c>
      <c r="AK855" s="412" t="str">
        <f ca="1">IFERROR(BDP(MO.Ticker.Bloomberg&amp;" Equity","INTERVAL_HIGH","MARKET_DATA_OVERRIDE=PX_LAST","START_DATE_OVERRIDE",TEXT(INDEX(MO_SNA_FPStartDate,0,COLUMN()),"YYYYMMDD"),"END_DATE_OVERRIDE",TEXT(INDEX(MO_Common_QEndDate,0,COLUMN()),"YYYYMMDD")),"N/A")</f>
        <v>N/A</v>
      </c>
      <c r="AL855" s="412" t="str">
        <f ca="1">IFERROR(BDP(MO.Ticker.Bloomberg&amp;" Equity","INTERVAL_HIGH","MARKET_DATA_OVERRIDE=PX_LAST","START_DATE_OVERRIDE",TEXT(INDEX(MO_SNA_FPStartDate,0,COLUMN()),"YYYYMMDD"),"END_DATE_OVERRIDE",TEXT(INDEX(MO_Common_QEndDate,0,COLUMN()),"YYYYMMDD")),"N/A")</f>
        <v>N/A</v>
      </c>
      <c r="AM855" s="412" t="str">
        <f ca="1">IFERROR(BDP(MO.Ticker.Bloomberg&amp;" Equity","INTERVAL_HIGH","MARKET_DATA_OVERRIDE=PX_LAST","START_DATE_OVERRIDE",TEXT(INDEX(MO_SNA_FPStartDate,0,COLUMN()),"YYYYMMDD"),"END_DATE_OVERRIDE",TEXT(INDEX(MO_Common_QEndDate,0,COLUMN()),"YYYYMMDD")),"N/A")</f>
        <v>N/A</v>
      </c>
      <c r="AN855" s="412" t="str">
        <f ca="1">IFERROR(BDP(MO.Ticker.Bloomberg&amp;" Equity","INTERVAL_HIGH","MARKET_DATA_OVERRIDE=PX_LAST","START_DATE_OVERRIDE",TEXT(INDEX(MO_SNA_FPStartDate,0,COLUMN()),"YYYYMMDD"),"END_DATE_OVERRIDE",TEXT(INDEX(MO_Common_QEndDate,0,COLUMN()),"YYYYMMDD")),"N/A")</f>
        <v>N/A</v>
      </c>
      <c r="AO855" s="412" t="str">
        <f ca="1">IFERROR(BDP(MO.Ticker.Bloomberg&amp;" Equity","INTERVAL_HIGH","MARKET_DATA_OVERRIDE=PX_LAST","START_DATE_OVERRIDE",TEXT(INDEX(MO_SNA_FPStartDate,0,COLUMN()),"YYYYMMDD"),"END_DATE_OVERRIDE",TEXT(INDEX(MO_Common_QEndDate,0,COLUMN()),"YYYYMMDD")),"N/A")</f>
        <v>N/A</v>
      </c>
      <c r="AP855" s="412" t="str">
        <f ca="1">IFERROR(BDP(MO.Ticker.Bloomberg&amp;" Equity","INTERVAL_HIGH","MARKET_DATA_OVERRIDE=PX_LAST","START_DATE_OVERRIDE",TEXT(INDEX(MO_SNA_FPStartDate,0,COLUMN()),"YYYYMMDD"),"END_DATE_OVERRIDE",TEXT(INDEX(MO_Common_QEndDate,0,COLUMN()),"YYYYMMDD")),"N/A")</f>
        <v>N/A</v>
      </c>
      <c r="AQ855" s="412" t="str">
        <f ca="1">IFERROR(BDP(MO.Ticker.Bloomberg&amp;" Equity","INTERVAL_HIGH","MARKET_DATA_OVERRIDE=PX_LAST","START_DATE_OVERRIDE",TEXT(INDEX(MO_SNA_FPStartDate,0,COLUMN()),"YYYYMMDD"),"END_DATE_OVERRIDE",TEXT(INDEX(MO_Common_QEndDate,0,COLUMN()),"YYYYMMDD")),"N/A")</f>
        <v>N/A</v>
      </c>
      <c r="AR855" s="412" t="str">
        <f ca="1">IFERROR(BDP(MO.Ticker.Bloomberg&amp;" Equity","INTERVAL_HIGH","MARKET_DATA_OVERRIDE=PX_LAST","START_DATE_OVERRIDE",TEXT(INDEX(MO_SNA_FPStartDate,0,COLUMN()),"YYYYMMDD"),"END_DATE_OVERRIDE",TEXT(INDEX(MO_Common_QEndDate,0,COLUMN()),"YYYYMMDD")),"N/A")</f>
        <v>N/A</v>
      </c>
      <c r="AS855" s="412" t="str">
        <f ca="1">IFERROR(BDP(MO.Ticker.Bloomberg&amp;" Equity","INTERVAL_HIGH","MARKET_DATA_OVERRIDE=PX_LAST","START_DATE_OVERRIDE",TEXT(INDEX(MO_SNA_FPStartDate,0,COLUMN()),"YYYYMMDD"),"END_DATE_OVERRIDE",TEXT(INDEX(MO_Common_QEndDate,0,COLUMN()),"YYYYMMDD")),"N/A")</f>
        <v>N/A</v>
      </c>
      <c r="AT855" s="412" t="str">
        <f ca="1">IFERROR(BDP(MO.Ticker.Bloomberg&amp;" Equity","INTERVAL_HIGH","MARKET_DATA_OVERRIDE=PX_LAST","START_DATE_OVERRIDE",TEXT(INDEX(MO_SNA_FPStartDate,0,COLUMN()),"YYYYMMDD"),"END_DATE_OVERRIDE",TEXT(INDEX(MO_Common_QEndDate,0,COLUMN()),"YYYYMMDD")),"N/A")</f>
        <v>N/A</v>
      </c>
      <c r="AU855" s="412" t="str">
        <f ca="1">IFERROR(BDP(MO.Ticker.Bloomberg&amp;" Equity","INTERVAL_HIGH","MARKET_DATA_OVERRIDE=PX_LAST","START_DATE_OVERRIDE",TEXT(INDEX(MO_SNA_FPStartDate,0,COLUMN()),"YYYYMMDD"),"END_DATE_OVERRIDE",TEXT(INDEX(MO_Common_QEndDate,0,COLUMN()),"YYYYMMDD")),"N/A")</f>
        <v>N/A</v>
      </c>
      <c r="AV855" s="412" t="str">
        <f ca="1">IFERROR(BDP(MO.Ticker.Bloomberg&amp;" Equity","INTERVAL_HIGH","MARKET_DATA_OVERRIDE=PX_LAST","START_DATE_OVERRIDE",TEXT(INDEX(MO_SNA_FPStartDate,0,COLUMN()),"YYYYMMDD"),"END_DATE_OVERRIDE",TEXT(INDEX(MO_Common_QEndDate,0,COLUMN()),"YYYYMMDD")),"N/A")</f>
        <v>N/A</v>
      </c>
      <c r="AW855" s="752" t="str">
        <f ca="1">IFERROR(BDP(MO.Ticker.Bloomberg&amp;" Equity","INTERVAL_HIGH","MARKET_DATA_OVERRIDE=PX_LAST","START_DATE_OVERRIDE",TEXT(INDEX(MO_SNA_FPStartDate,0,COLUMN()),"YYYYMMDD"),"END_DATE_OVERRIDE",TEXT(INDEX(MO_Common_QEndDate,0,COLUMN()),"YYYYMMDD")),"N/A")</f>
        <v>N/A</v>
      </c>
      <c r="AX855" s="412" t="str">
        <f ca="1">IFERROR(BDP(MO.Ticker.Bloomberg&amp;" Equity","INTERVAL_HIGH","MARKET_DATA_OVERRIDE=PX_LAST","START_DATE_OVERRIDE",TEXT(INDEX(MO_SNA_FPStartDate,0,COLUMN()),"YYYYMMDD"),"END_DATE_OVERRIDE",TEXT(INDEX(MO_Common_QEndDate,0,COLUMN()),"YYYYMMDD")),"N/A")</f>
        <v>N/A</v>
      </c>
      <c r="AY855" s="412" t="str">
        <f ca="1">IFERROR(BDP(MO.Ticker.Bloomberg&amp;" Equity","INTERVAL_HIGH","MARKET_DATA_OVERRIDE=PX_LAST","START_DATE_OVERRIDE",TEXT(INDEX(MO_SNA_FPStartDate,0,COLUMN()),"YYYYMMDD"),"END_DATE_OVERRIDE",TEXT(INDEX(MO_Common_QEndDate,0,COLUMN()),"YYYYMMDD")),"N/A")</f>
        <v>N/A</v>
      </c>
      <c r="AZ855" s="412" t="str">
        <f ca="1">IFERROR(BDP(MO.Ticker.Bloomberg&amp;" Equity","INTERVAL_HIGH","MARKET_DATA_OVERRIDE=PX_LAST","START_DATE_OVERRIDE",TEXT(INDEX(MO_SNA_FPStartDate,0,COLUMN()),"YYYYMMDD"),"END_DATE_OVERRIDE",TEXT(INDEX(MO_Common_QEndDate,0,COLUMN()),"YYYYMMDD")),"N/A")</f>
        <v>N/A</v>
      </c>
      <c r="BA855" s="412" t="str">
        <f ca="1">IFERROR(BDP(MO.Ticker.Bloomberg&amp;" Equity","INTERVAL_HIGH","MARKET_DATA_OVERRIDE=PX_LAST","START_DATE_OVERRIDE",TEXT(INDEX(MO_SNA_FPStartDate,0,COLUMN()),"YYYYMMDD"),"END_DATE_OVERRIDE",TEXT(INDEX(MO_Common_QEndDate,0,COLUMN()),"YYYYMMDD")),"N/A")</f>
        <v>N/A</v>
      </c>
      <c r="BB855" s="412" t="str">
        <f ca="1">IFERROR(BDP(MO.Ticker.Bloomberg&amp;" Equity","INTERVAL_HIGH","MARKET_DATA_OVERRIDE=PX_LAST","START_DATE_OVERRIDE",TEXT(INDEX(MO_SNA_FPStartDate,0,COLUMN()),"YYYYMMDD"),"END_DATE_OVERRIDE",TEXT(INDEX(MO_Common_QEndDate,0,COLUMN()),"YYYYMMDD")),"N/A")</f>
        <v>N/A</v>
      </c>
      <c r="BC855" s="412" t="str">
        <f ca="1">IFERROR(BDP(MO.Ticker.Bloomberg&amp;" Equity","INTERVAL_HIGH","MARKET_DATA_OVERRIDE=PX_LAST","START_DATE_OVERRIDE",TEXT(INDEX(MO_SNA_FPStartDate,0,COLUMN()),"YYYYMMDD"),"END_DATE_OVERRIDE",TEXT(INDEX(MO_Common_QEndDate,0,COLUMN()),"YYYYMMDD")),"N/A")</f>
        <v>N/A</v>
      </c>
      <c r="BD855" s="412" t="str">
        <f ca="1">IFERROR(BDP(MO.Ticker.Bloomberg&amp;" Equity","INTERVAL_HIGH","MARKET_DATA_OVERRIDE=PX_LAST","START_DATE_OVERRIDE",TEXT(INDEX(MO_SNA_FPStartDate,0,COLUMN()),"YYYYMMDD"),"END_DATE_OVERRIDE",TEXT(INDEX(MO_Common_QEndDate,0,COLUMN()),"YYYYMMDD")),"N/A")</f>
        <v>N/A</v>
      </c>
      <c r="BE855" s="412" t="str">
        <f ca="1">IFERROR(BDP(MO.Ticker.Bloomberg&amp;" Equity","INTERVAL_HIGH","MARKET_DATA_OVERRIDE=PX_LAST","START_DATE_OVERRIDE",TEXT(INDEX(MO_SNA_FPStartDate,0,COLUMN()),"YYYYMMDD"),"END_DATE_OVERRIDE",TEXT(INDEX(MO_Common_QEndDate,0,COLUMN()),"YYYYMMDD")),"N/A")</f>
        <v>N/A</v>
      </c>
      <c r="BF855" s="412" t="str">
        <f ca="1">IFERROR(BDP(MO.Ticker.Bloomberg&amp;" Equity","INTERVAL_HIGH","MARKET_DATA_OVERRIDE=PX_LAST","START_DATE_OVERRIDE",TEXT(INDEX(MO_SNA_FPStartDate,0,COLUMN()),"YYYYMMDD"),"END_DATE_OVERRIDE",TEXT(INDEX(MO_Common_QEndDate,0,COLUMN()),"YYYYMMDD")),"N/A")</f>
        <v>N/A</v>
      </c>
      <c r="BG855" s="412" t="str">
        <f ca="1">IFERROR(BDP(MO.Ticker.Bloomberg&amp;" Equity","INTERVAL_HIGH","MARKET_DATA_OVERRIDE=PX_LAST","START_DATE_OVERRIDE",TEXT(INDEX(MO_SNA_FPStartDate,0,COLUMN()),"YYYYMMDD"),"END_DATE_OVERRIDE",TEXT(INDEX(MO_Common_QEndDate,0,COLUMN()),"YYYYMMDD")),"N/A")</f>
        <v>N/A</v>
      </c>
      <c r="BH855" s="476"/>
    </row>
    <row r="856" spans="1:60" s="415" customFormat="1" hidden="1" outlineLevel="1" x14ac:dyDescent="0.25">
      <c r="A856" s="416" t="s">
        <v>333</v>
      </c>
      <c r="B856" s="412"/>
      <c r="C856" s="413" t="str">
        <f ca="1">IFERROR(CIQHI(MO.Ticker.CapIQ,"IQ_LASTSALEPRICE",INDEX(MO_SNA_FPStartDate,0,COLUMN()),INDEX(MO_Common_QEndDate,0,COLUMN())),"N/A")</f>
        <v>N/A</v>
      </c>
      <c r="D856" s="413" t="str">
        <f ca="1">IFERROR(CIQHI(MO.Ticker.CapIQ,"IQ_LASTSALEPRICE",INDEX(MO_SNA_FPStartDate,0,COLUMN()),INDEX(MO_Common_QEndDate,0,COLUMN())),"N/A")</f>
        <v>N/A</v>
      </c>
      <c r="E856" s="412" t="str">
        <f ca="1">IFERROR(CIQHI(MO.Ticker.CapIQ,"IQ_LASTSALEPRICE",INDEX(MO_SNA_FPStartDate,0,COLUMN()),INDEX(MO_Common_QEndDate,0,COLUMN())),"N/A")</f>
        <v>N/A</v>
      </c>
      <c r="F856" s="412" t="str">
        <f ca="1">IFERROR(CIQHI(MO.Ticker.CapIQ,"IQ_LASTSALEPRICE",INDEX(MO_SNA_FPStartDate,0,COLUMN()),INDEX(MO_Common_QEndDate,0,COLUMN())),"N/A")</f>
        <v>N/A</v>
      </c>
      <c r="G856" s="412" t="str">
        <f ca="1">IFERROR(CIQHI(MO.Ticker.CapIQ,"IQ_LASTSALEPRICE",INDEX(MO_SNA_FPStartDate,0,COLUMN()),INDEX(MO_Common_QEndDate,0,COLUMN())),"N/A")</f>
        <v>N/A</v>
      </c>
      <c r="H856" s="412" t="str">
        <f ca="1">IFERROR(CIQHI(MO.Ticker.CapIQ,"IQ_LASTSALEPRICE",INDEX(MO_SNA_FPStartDate,0,COLUMN()),INDEX(MO_Common_QEndDate,0,COLUMN())),"N/A")</f>
        <v>N/A</v>
      </c>
      <c r="I856" s="412" t="str">
        <f ca="1">IFERROR(CIQHI(MO.Ticker.CapIQ,"IQ_LASTSALEPRICE",INDEX(MO_SNA_FPStartDate,0,COLUMN()),INDEX(MO_Common_QEndDate,0,COLUMN())),"N/A")</f>
        <v>N/A</v>
      </c>
      <c r="J856" s="412" t="str">
        <f ca="1">IFERROR(CIQHI(MO.Ticker.CapIQ,"IQ_LASTSALEPRICE",INDEX(MO_SNA_FPStartDate,0,COLUMN()),INDEX(MO_Common_QEndDate,0,COLUMN())),"N/A")</f>
        <v>N/A</v>
      </c>
      <c r="K856" s="412" t="str">
        <f ca="1">IFERROR(CIQHI(MO.Ticker.CapIQ,"IQ_LASTSALEPRICE",INDEX(MO_SNA_FPStartDate,0,COLUMN()),INDEX(MO_Common_QEndDate,0,COLUMN())),"N/A")</f>
        <v>N/A</v>
      </c>
      <c r="L856" s="412" t="str">
        <f ca="1">IFERROR(CIQHI(MO.Ticker.CapIQ,"IQ_LASTSALEPRICE",INDEX(MO_SNA_FPStartDate,0,COLUMN()),INDEX(MO_Common_QEndDate,0,COLUMN())),"N/A")</f>
        <v>N/A</v>
      </c>
      <c r="M856" s="412" t="str">
        <f ca="1">IFERROR(CIQHI(MO.Ticker.CapIQ,"IQ_LASTSALEPRICE",INDEX(MO_SNA_FPStartDate,0,COLUMN()),INDEX(MO_Common_QEndDate,0,COLUMN())),"N/A")</f>
        <v>N/A</v>
      </c>
      <c r="N856" s="412" t="str">
        <f ca="1">IFERROR(CIQHI(MO.Ticker.CapIQ,"IQ_LASTSALEPRICE",INDEX(MO_SNA_FPStartDate,0,COLUMN()),INDEX(MO_Common_QEndDate,0,COLUMN())),"N/A")</f>
        <v>N/A</v>
      </c>
      <c r="O856" s="412" t="str">
        <f ca="1">IFERROR(CIQHI(MO.Ticker.CapIQ,"IQ_LASTSALEPRICE",INDEX(MO_SNA_FPStartDate,0,COLUMN()),INDEX(MO_Common_QEndDate,0,COLUMN())),"N/A")</f>
        <v>N/A</v>
      </c>
      <c r="P856" s="412" t="str">
        <f ca="1">IFERROR(CIQHI(MO.Ticker.CapIQ,"IQ_LASTSALEPRICE",INDEX(MO_SNA_FPStartDate,0,COLUMN()),INDEX(MO_Common_QEndDate,0,COLUMN())),"N/A")</f>
        <v>N/A</v>
      </c>
      <c r="Q856" s="412" t="str">
        <f ca="1">IFERROR(CIQHI(MO.Ticker.CapIQ,"IQ_LASTSALEPRICE",INDEX(MO_SNA_FPStartDate,0,COLUMN()),INDEX(MO_Common_QEndDate,0,COLUMN())),"N/A")</f>
        <v>N/A</v>
      </c>
      <c r="R856" s="412" t="str">
        <f ca="1">IFERROR(CIQHI(MO.Ticker.CapIQ,"IQ_LASTSALEPRICE",INDEX(MO_SNA_FPStartDate,0,COLUMN()),INDEX(MO_Common_QEndDate,0,COLUMN())),"N/A")</f>
        <v>N/A</v>
      </c>
      <c r="S856" s="412" t="str">
        <f ca="1">IFERROR(CIQHI(MO.Ticker.CapIQ,"IQ_LASTSALEPRICE",INDEX(MO_SNA_FPStartDate,0,COLUMN()),INDEX(MO_Common_QEndDate,0,COLUMN())),"N/A")</f>
        <v>N/A</v>
      </c>
      <c r="T856" s="412" t="str">
        <f ca="1">IFERROR(CIQHI(MO.Ticker.CapIQ,"IQ_LASTSALEPRICE",INDEX(MO_SNA_FPStartDate,0,COLUMN()),INDEX(MO_Common_QEndDate,0,COLUMN())),"N/A")</f>
        <v>N/A</v>
      </c>
      <c r="U856" s="412" t="str">
        <f ca="1">IFERROR(CIQHI(MO.Ticker.CapIQ,"IQ_LASTSALEPRICE",INDEX(MO_SNA_FPStartDate,0,COLUMN()),INDEX(MO_Common_QEndDate,0,COLUMN())),"N/A")</f>
        <v>N/A</v>
      </c>
      <c r="V856" s="412" t="str">
        <f ca="1">IFERROR(CIQHI(MO.Ticker.CapIQ,"IQ_LASTSALEPRICE",INDEX(MO_SNA_FPStartDate,0,COLUMN()),INDEX(MO_Common_QEndDate,0,COLUMN())),"N/A")</f>
        <v>N/A</v>
      </c>
      <c r="W856" s="412" t="str">
        <f ca="1">IFERROR(CIQHI(MO.Ticker.CapIQ,"IQ_LASTSALEPRICE",INDEX(MO_SNA_FPStartDate,0,COLUMN()),INDEX(MO_Common_QEndDate,0,COLUMN())),"N/A")</f>
        <v>N/A</v>
      </c>
      <c r="X856" s="412" t="str">
        <f ca="1">IFERROR(CIQHI(MO.Ticker.CapIQ,"IQ_LASTSALEPRICE",INDEX(MO_SNA_FPStartDate,0,COLUMN()),INDEX(MO_Common_QEndDate,0,COLUMN())),"N/A")</f>
        <v>N/A</v>
      </c>
      <c r="Y856" s="412" t="str">
        <f ca="1">IFERROR(CIQHI(MO.Ticker.CapIQ,"IQ_LASTSALEPRICE",INDEX(MO_SNA_FPStartDate,0,COLUMN()),INDEX(MO_Common_QEndDate,0,COLUMN())),"N/A")</f>
        <v>N/A</v>
      </c>
      <c r="Z856" s="412" t="str">
        <f ca="1">IFERROR(CIQHI(MO.Ticker.CapIQ,"IQ_LASTSALEPRICE",INDEX(MO_SNA_FPStartDate,0,COLUMN()),INDEX(MO_Common_QEndDate,0,COLUMN())),"N/A")</f>
        <v>N/A</v>
      </c>
      <c r="AA856" s="412" t="str">
        <f ca="1">IFERROR(CIQHI(MO.Ticker.CapIQ,"IQ_LASTSALEPRICE",INDEX(MO_SNA_FPStartDate,0,COLUMN()),INDEX(MO_Common_QEndDate,0,COLUMN())),"N/A")</f>
        <v>N/A</v>
      </c>
      <c r="AB856" s="412" t="str">
        <f ca="1">IFERROR(CIQHI(MO.Ticker.CapIQ,"IQ_LASTSALEPRICE",INDEX(MO_SNA_FPStartDate,0,COLUMN()),INDEX(MO_Common_QEndDate,0,COLUMN())),"N/A")</f>
        <v>N/A</v>
      </c>
      <c r="AC856" s="412" t="str">
        <f ca="1">IFERROR(CIQHI(MO.Ticker.CapIQ,"IQ_LASTSALEPRICE",INDEX(MO_SNA_FPStartDate,0,COLUMN()),INDEX(MO_Common_QEndDate,0,COLUMN())),"N/A")</f>
        <v>N/A</v>
      </c>
      <c r="AD856" s="412" t="str">
        <f ca="1">IFERROR(CIQHI(MO.Ticker.CapIQ,"IQ_LASTSALEPRICE",INDEX(MO_SNA_FPStartDate,0,COLUMN()),INDEX(MO_Common_QEndDate,0,COLUMN())),"N/A")</f>
        <v>N/A</v>
      </c>
      <c r="AE856" s="412" t="str">
        <f ca="1">IFERROR(CIQHI(MO.Ticker.CapIQ,"IQ_LASTSALEPRICE",INDEX(MO_SNA_FPStartDate,0,COLUMN()),INDEX(MO_Common_QEndDate,0,COLUMN())),"N/A")</f>
        <v>N/A</v>
      </c>
      <c r="AF856" s="412" t="str">
        <f ca="1">IFERROR(CIQHI(MO.Ticker.CapIQ,"IQ_LASTSALEPRICE",INDEX(MO_SNA_FPStartDate,0,COLUMN()),INDEX(MO_Common_QEndDate,0,COLUMN())),"N/A")</f>
        <v>N/A</v>
      </c>
      <c r="AG856" s="412" t="str">
        <f ca="1">IFERROR(CIQHI(MO.Ticker.CapIQ,"IQ_LASTSALEPRICE",INDEX(MO_SNA_FPStartDate,0,COLUMN()),INDEX(MO_Common_QEndDate,0,COLUMN())),"N/A")</f>
        <v>N/A</v>
      </c>
      <c r="AH856" s="412" t="str">
        <f ca="1">IFERROR(CIQHI(MO.Ticker.CapIQ,"IQ_LASTSALEPRICE",INDEX(MO_SNA_FPStartDate,0,COLUMN()),INDEX(MO_Common_QEndDate,0,COLUMN())),"N/A")</f>
        <v>N/A</v>
      </c>
      <c r="AI856" s="412" t="str">
        <f ca="1">IFERROR(CIQHI(MO.Ticker.CapIQ,"IQ_LASTSALEPRICE",INDEX(MO_SNA_FPStartDate,0,COLUMN()),INDEX(MO_Common_QEndDate,0,COLUMN())),"N/A")</f>
        <v>N/A</v>
      </c>
      <c r="AJ856" s="412" t="str">
        <f ca="1">IFERROR(CIQHI(MO.Ticker.CapIQ,"IQ_LASTSALEPRICE",INDEX(MO_SNA_FPStartDate,0,COLUMN()),INDEX(MO_Common_QEndDate,0,COLUMN())),"N/A")</f>
        <v>N/A</v>
      </c>
      <c r="AK856" s="412" t="str">
        <f ca="1">IFERROR(CIQHI(MO.Ticker.CapIQ,"IQ_LASTSALEPRICE",INDEX(MO_SNA_FPStartDate,0,COLUMN()),INDEX(MO_Common_QEndDate,0,COLUMN())),"N/A")</f>
        <v>N/A</v>
      </c>
      <c r="AL856" s="412" t="str">
        <f ca="1">IFERROR(CIQHI(MO.Ticker.CapIQ,"IQ_LASTSALEPRICE",INDEX(MO_SNA_FPStartDate,0,COLUMN()),INDEX(MO_Common_QEndDate,0,COLUMN())),"N/A")</f>
        <v>N/A</v>
      </c>
      <c r="AM856" s="412" t="str">
        <f ca="1">IFERROR(CIQHI(MO.Ticker.CapIQ,"IQ_LASTSALEPRICE",INDEX(MO_SNA_FPStartDate,0,COLUMN()),INDEX(MO_Common_QEndDate,0,COLUMN())),"N/A")</f>
        <v>N/A</v>
      </c>
      <c r="AN856" s="412" t="str">
        <f ca="1">IFERROR(CIQHI(MO.Ticker.CapIQ,"IQ_LASTSALEPRICE",INDEX(MO_SNA_FPStartDate,0,COLUMN()),INDEX(MO_Common_QEndDate,0,COLUMN())),"N/A")</f>
        <v>N/A</v>
      </c>
      <c r="AO856" s="412" t="str">
        <f ca="1">IFERROR(CIQHI(MO.Ticker.CapIQ,"IQ_LASTSALEPRICE",INDEX(MO_SNA_FPStartDate,0,COLUMN()),INDEX(MO_Common_QEndDate,0,COLUMN())),"N/A")</f>
        <v>N/A</v>
      </c>
      <c r="AP856" s="412" t="str">
        <f ca="1">IFERROR(CIQHI(MO.Ticker.CapIQ,"IQ_LASTSALEPRICE",INDEX(MO_SNA_FPStartDate,0,COLUMN()),INDEX(MO_Common_QEndDate,0,COLUMN())),"N/A")</f>
        <v>N/A</v>
      </c>
      <c r="AQ856" s="412" t="str">
        <f ca="1">IFERROR(CIQHI(MO.Ticker.CapIQ,"IQ_LASTSALEPRICE",INDEX(MO_SNA_FPStartDate,0,COLUMN()),INDEX(MO_Common_QEndDate,0,COLUMN())),"N/A")</f>
        <v>N/A</v>
      </c>
      <c r="AR856" s="412" t="str">
        <f ca="1">IFERROR(CIQHI(MO.Ticker.CapIQ,"IQ_LASTSALEPRICE",INDEX(MO_SNA_FPStartDate,0,COLUMN()),INDEX(MO_Common_QEndDate,0,COLUMN())),"N/A")</f>
        <v>N/A</v>
      </c>
      <c r="AS856" s="412" t="str">
        <f ca="1">IFERROR(CIQHI(MO.Ticker.CapIQ,"IQ_LASTSALEPRICE",INDEX(MO_SNA_FPStartDate,0,COLUMN()),INDEX(MO_Common_QEndDate,0,COLUMN())),"N/A")</f>
        <v>N/A</v>
      </c>
      <c r="AT856" s="412" t="str">
        <f ca="1">IFERROR(CIQHI(MO.Ticker.CapIQ,"IQ_LASTSALEPRICE",INDEX(MO_SNA_FPStartDate,0,COLUMN()),INDEX(MO_Common_QEndDate,0,COLUMN())),"N/A")</f>
        <v>N/A</v>
      </c>
      <c r="AU856" s="412" t="str">
        <f ca="1">IFERROR(CIQHI(MO.Ticker.CapIQ,"IQ_LASTSALEPRICE",INDEX(MO_SNA_FPStartDate,0,COLUMN()),INDEX(MO_Common_QEndDate,0,COLUMN())),"N/A")</f>
        <v>N/A</v>
      </c>
      <c r="AV856" s="412" t="str">
        <f ca="1">IFERROR(CIQHI(MO.Ticker.CapIQ,"IQ_LASTSALEPRICE",INDEX(MO_SNA_FPStartDate,0,COLUMN()),INDEX(MO_Common_QEndDate,0,COLUMN())),"N/A")</f>
        <v>N/A</v>
      </c>
      <c r="AW856" s="752" t="str">
        <f ca="1">IFERROR(CIQHI(MO.Ticker.CapIQ,"IQ_LASTSALEPRICE",INDEX(MO_SNA_FPStartDate,0,COLUMN()),INDEX(MO_Common_QEndDate,0,COLUMN())),"N/A")</f>
        <v>N/A</v>
      </c>
      <c r="AX856" s="412" t="str">
        <f ca="1">IFERROR(CIQHI(MO.Ticker.CapIQ,"IQ_LASTSALEPRICE",INDEX(MO_SNA_FPStartDate,0,COLUMN()),INDEX(MO_Common_QEndDate,0,COLUMN())),"N/A")</f>
        <v>N/A</v>
      </c>
      <c r="AY856" s="412" t="str">
        <f ca="1">IFERROR(CIQHI(MO.Ticker.CapIQ,"IQ_LASTSALEPRICE",INDEX(MO_SNA_FPStartDate,0,COLUMN()),INDEX(MO_Common_QEndDate,0,COLUMN())),"N/A")</f>
        <v>N/A</v>
      </c>
      <c r="AZ856" s="412" t="str">
        <f ca="1">IFERROR(CIQHI(MO.Ticker.CapIQ,"IQ_LASTSALEPRICE",INDEX(MO_SNA_FPStartDate,0,COLUMN()),INDEX(MO_Common_QEndDate,0,COLUMN())),"N/A")</f>
        <v>N/A</v>
      </c>
      <c r="BA856" s="412" t="str">
        <f ca="1">IFERROR(CIQHI(MO.Ticker.CapIQ,"IQ_LASTSALEPRICE",INDEX(MO_SNA_FPStartDate,0,COLUMN()),INDEX(MO_Common_QEndDate,0,COLUMN())),"N/A")</f>
        <v>N/A</v>
      </c>
      <c r="BB856" s="412" t="str">
        <f ca="1">IFERROR(CIQHI(MO.Ticker.CapIQ,"IQ_LASTSALEPRICE",INDEX(MO_SNA_FPStartDate,0,COLUMN()),INDEX(MO_Common_QEndDate,0,COLUMN())),"N/A")</f>
        <v>N/A</v>
      </c>
      <c r="BC856" s="412" t="str">
        <f ca="1">IFERROR(CIQHI(MO.Ticker.CapIQ,"IQ_LASTSALEPRICE",INDEX(MO_SNA_FPStartDate,0,COLUMN()),INDEX(MO_Common_QEndDate,0,COLUMN())),"N/A")</f>
        <v>N/A</v>
      </c>
      <c r="BD856" s="412" t="str">
        <f ca="1">IFERROR(CIQHI(MO.Ticker.CapIQ,"IQ_LASTSALEPRICE",INDEX(MO_SNA_FPStartDate,0,COLUMN()),INDEX(MO_Common_QEndDate,0,COLUMN())),"N/A")</f>
        <v>N/A</v>
      </c>
      <c r="BE856" s="412" t="str">
        <f ca="1">IFERROR(CIQHI(MO.Ticker.CapIQ,"IQ_LASTSALEPRICE",INDEX(MO_SNA_FPStartDate,0,COLUMN()),INDEX(MO_Common_QEndDate,0,COLUMN())),"N/A")</f>
        <v>N/A</v>
      </c>
      <c r="BF856" s="412" t="str">
        <f ca="1">IFERROR(CIQHI(MO.Ticker.CapIQ,"IQ_LASTSALEPRICE",INDEX(MO_SNA_FPStartDate,0,COLUMN()),INDEX(MO_Common_QEndDate,0,COLUMN())),"N/A")</f>
        <v>N/A</v>
      </c>
      <c r="BG856" s="412" t="str">
        <f ca="1">IFERROR(CIQHI(MO.Ticker.CapIQ,"IQ_LASTSALEPRICE",INDEX(MO_SNA_FPStartDate,0,COLUMN()),INDEX(MO_Common_QEndDate,0,COLUMN())),"N/A")</f>
        <v>N/A</v>
      </c>
      <c r="BH856" s="476"/>
    </row>
    <row r="857" spans="1:60" s="415" customFormat="1" hidden="1" outlineLevel="1" x14ac:dyDescent="0.25">
      <c r="A857" s="416" t="s">
        <v>334</v>
      </c>
      <c r="B857" s="412"/>
      <c r="C857" s="413" t="str">
        <f ca="1">IFERROR(FDS(MO.Ticker.FactSet,"P_PRICE_HIGH"&amp;"("&amp;INDEX(MO_SNA_FPStartDate,0,COLUMN())&amp;","&amp;INDEX(MO_Common_QEndDate,0,COLUMN())&amp;",,,,""PRICE"",""CLOSE"")"),"N/A")</f>
        <v>N/A</v>
      </c>
      <c r="D857" s="413" t="str">
        <f ca="1">IFERROR(FDS(MO.Ticker.FactSet,"P_PRICE_HIGH"&amp;"("&amp;INDEX(MO_SNA_FPStartDate,0,COLUMN())&amp;","&amp;INDEX(MO_Common_QEndDate,0,COLUMN())&amp;",,,,""PRICE"",""CLOSE"")"),"N/A")</f>
        <v>N/A</v>
      </c>
      <c r="E857" s="412" t="str">
        <f ca="1">IFERROR(FDS(MO.Ticker.FactSet,"P_PRICE_HIGH"&amp;"("&amp;INDEX(MO_SNA_FPStartDate,0,COLUMN())&amp;","&amp;INDEX(MO_Common_QEndDate,0,COLUMN())&amp;",,,,""PRICE"",""CLOSE"")"),"N/A")</f>
        <v>N/A</v>
      </c>
      <c r="F857" s="412" t="str">
        <f ca="1">IFERROR(FDS(MO.Ticker.FactSet,"P_PRICE_HIGH"&amp;"("&amp;INDEX(MO_SNA_FPStartDate,0,COLUMN())&amp;","&amp;INDEX(MO_Common_QEndDate,0,COLUMN())&amp;",,,,""PRICE"",""CLOSE"")"),"N/A")</f>
        <v>N/A</v>
      </c>
      <c r="G857" s="412" t="str">
        <f ca="1">IFERROR(FDS(MO.Ticker.FactSet,"P_PRICE_HIGH"&amp;"("&amp;INDEX(MO_SNA_FPStartDate,0,COLUMN())&amp;","&amp;INDEX(MO_Common_QEndDate,0,COLUMN())&amp;",,,,""PRICE"",""CLOSE"")"),"N/A")</f>
        <v>N/A</v>
      </c>
      <c r="H857" s="412" t="str">
        <f ca="1">IFERROR(FDS(MO.Ticker.FactSet,"P_PRICE_HIGH"&amp;"("&amp;INDEX(MO_SNA_FPStartDate,0,COLUMN())&amp;","&amp;INDEX(MO_Common_QEndDate,0,COLUMN())&amp;",,,,""PRICE"",""CLOSE"")"),"N/A")</f>
        <v>N/A</v>
      </c>
      <c r="I857" s="412" t="str">
        <f ca="1">IFERROR(FDS(MO.Ticker.FactSet,"P_PRICE_HIGH"&amp;"("&amp;INDEX(MO_SNA_FPStartDate,0,COLUMN())&amp;","&amp;INDEX(MO_Common_QEndDate,0,COLUMN())&amp;",,,,""PRICE"",""CLOSE"")"),"N/A")</f>
        <v>N/A</v>
      </c>
      <c r="J857" s="412" t="str">
        <f ca="1">IFERROR(FDS(MO.Ticker.FactSet,"P_PRICE_HIGH"&amp;"("&amp;INDEX(MO_SNA_FPStartDate,0,COLUMN())&amp;","&amp;INDEX(MO_Common_QEndDate,0,COLUMN())&amp;",,,,""PRICE"",""CLOSE"")"),"N/A")</f>
        <v>N/A</v>
      </c>
      <c r="K857" s="412" t="str">
        <f ca="1">IFERROR(FDS(MO.Ticker.FactSet,"P_PRICE_HIGH"&amp;"("&amp;INDEX(MO_SNA_FPStartDate,0,COLUMN())&amp;","&amp;INDEX(MO_Common_QEndDate,0,COLUMN())&amp;",,,,""PRICE"",""CLOSE"")"),"N/A")</f>
        <v>N/A</v>
      </c>
      <c r="L857" s="412" t="str">
        <f ca="1">IFERROR(FDS(MO.Ticker.FactSet,"P_PRICE_HIGH"&amp;"("&amp;INDEX(MO_SNA_FPStartDate,0,COLUMN())&amp;","&amp;INDEX(MO_Common_QEndDate,0,COLUMN())&amp;",,,,""PRICE"",""CLOSE"")"),"N/A")</f>
        <v>N/A</v>
      </c>
      <c r="M857" s="412" t="str">
        <f ca="1">IFERROR(FDS(MO.Ticker.FactSet,"P_PRICE_HIGH"&amp;"("&amp;INDEX(MO_SNA_FPStartDate,0,COLUMN())&amp;","&amp;INDEX(MO_Common_QEndDate,0,COLUMN())&amp;",,,,""PRICE"",""CLOSE"")"),"N/A")</f>
        <v>N/A</v>
      </c>
      <c r="N857" s="412" t="str">
        <f ca="1">IFERROR(FDS(MO.Ticker.FactSet,"P_PRICE_HIGH"&amp;"("&amp;INDEX(MO_SNA_FPStartDate,0,COLUMN())&amp;","&amp;INDEX(MO_Common_QEndDate,0,COLUMN())&amp;",,,,""PRICE"",""CLOSE"")"),"N/A")</f>
        <v>N/A</v>
      </c>
      <c r="O857" s="412" t="str">
        <f ca="1">IFERROR(FDS(MO.Ticker.FactSet,"P_PRICE_HIGH"&amp;"("&amp;INDEX(MO_SNA_FPStartDate,0,COLUMN())&amp;","&amp;INDEX(MO_Common_QEndDate,0,COLUMN())&amp;",,,,""PRICE"",""CLOSE"")"),"N/A")</f>
        <v>N/A</v>
      </c>
      <c r="P857" s="412" t="str">
        <f ca="1">IFERROR(FDS(MO.Ticker.FactSet,"P_PRICE_HIGH"&amp;"("&amp;INDEX(MO_SNA_FPStartDate,0,COLUMN())&amp;","&amp;INDEX(MO_Common_QEndDate,0,COLUMN())&amp;",,,,""PRICE"",""CLOSE"")"),"N/A")</f>
        <v>N/A</v>
      </c>
      <c r="Q857" s="412" t="str">
        <f ca="1">IFERROR(FDS(MO.Ticker.FactSet,"P_PRICE_HIGH"&amp;"("&amp;INDEX(MO_SNA_FPStartDate,0,COLUMN())&amp;","&amp;INDEX(MO_Common_QEndDate,0,COLUMN())&amp;",,,,""PRICE"",""CLOSE"")"),"N/A")</f>
        <v>N/A</v>
      </c>
      <c r="R857" s="412" t="str">
        <f ca="1">IFERROR(FDS(MO.Ticker.FactSet,"P_PRICE_HIGH"&amp;"("&amp;INDEX(MO_SNA_FPStartDate,0,COLUMN())&amp;","&amp;INDEX(MO_Common_QEndDate,0,COLUMN())&amp;",,,,""PRICE"",""CLOSE"")"),"N/A")</f>
        <v>N/A</v>
      </c>
      <c r="S857" s="412" t="str">
        <f ca="1">IFERROR(FDS(MO.Ticker.FactSet,"P_PRICE_HIGH"&amp;"("&amp;INDEX(MO_SNA_FPStartDate,0,COLUMN())&amp;","&amp;INDEX(MO_Common_QEndDate,0,COLUMN())&amp;",,,,""PRICE"",""CLOSE"")"),"N/A")</f>
        <v>N/A</v>
      </c>
      <c r="T857" s="412" t="str">
        <f ca="1">IFERROR(FDS(MO.Ticker.FactSet,"P_PRICE_HIGH"&amp;"("&amp;INDEX(MO_SNA_FPStartDate,0,COLUMN())&amp;","&amp;INDEX(MO_Common_QEndDate,0,COLUMN())&amp;",,,,""PRICE"",""CLOSE"")"),"N/A")</f>
        <v>N/A</v>
      </c>
      <c r="U857" s="412" t="str">
        <f ca="1">IFERROR(FDS(MO.Ticker.FactSet,"P_PRICE_HIGH"&amp;"("&amp;INDEX(MO_SNA_FPStartDate,0,COLUMN())&amp;","&amp;INDEX(MO_Common_QEndDate,0,COLUMN())&amp;",,,,""PRICE"",""CLOSE"")"),"N/A")</f>
        <v>N/A</v>
      </c>
      <c r="V857" s="412" t="str">
        <f ca="1">IFERROR(FDS(MO.Ticker.FactSet,"P_PRICE_HIGH"&amp;"("&amp;INDEX(MO_SNA_FPStartDate,0,COLUMN())&amp;","&amp;INDEX(MO_Common_QEndDate,0,COLUMN())&amp;",,,,""PRICE"",""CLOSE"")"),"N/A")</f>
        <v>N/A</v>
      </c>
      <c r="W857" s="412" t="str">
        <f ca="1">IFERROR(FDS(MO.Ticker.FactSet,"P_PRICE_HIGH"&amp;"("&amp;INDEX(MO_SNA_FPStartDate,0,COLUMN())&amp;","&amp;INDEX(MO_Common_QEndDate,0,COLUMN())&amp;",,,,""PRICE"",""CLOSE"")"),"N/A")</f>
        <v>N/A</v>
      </c>
      <c r="X857" s="412" t="str">
        <f ca="1">IFERROR(FDS(MO.Ticker.FactSet,"P_PRICE_HIGH"&amp;"("&amp;INDEX(MO_SNA_FPStartDate,0,COLUMN())&amp;","&amp;INDEX(MO_Common_QEndDate,0,COLUMN())&amp;",,,,""PRICE"",""CLOSE"")"),"N/A")</f>
        <v>N/A</v>
      </c>
      <c r="Y857" s="412" t="str">
        <f ca="1">IFERROR(FDS(MO.Ticker.FactSet,"P_PRICE_HIGH"&amp;"("&amp;INDEX(MO_SNA_FPStartDate,0,COLUMN())&amp;","&amp;INDEX(MO_Common_QEndDate,0,COLUMN())&amp;",,,,""PRICE"",""CLOSE"")"),"N/A")</f>
        <v>N/A</v>
      </c>
      <c r="Z857" s="412" t="str">
        <f ca="1">IFERROR(FDS(MO.Ticker.FactSet,"P_PRICE_HIGH"&amp;"("&amp;INDEX(MO_SNA_FPStartDate,0,COLUMN())&amp;","&amp;INDEX(MO_Common_QEndDate,0,COLUMN())&amp;",,,,""PRICE"",""CLOSE"")"),"N/A")</f>
        <v>N/A</v>
      </c>
      <c r="AA857" s="412" t="str">
        <f ca="1">IFERROR(FDS(MO.Ticker.FactSet,"P_PRICE_HIGH"&amp;"("&amp;INDEX(MO_SNA_FPStartDate,0,COLUMN())&amp;","&amp;INDEX(MO_Common_QEndDate,0,COLUMN())&amp;",,,,""PRICE"",""CLOSE"")"),"N/A")</f>
        <v>N/A</v>
      </c>
      <c r="AB857" s="412" t="str">
        <f ca="1">IFERROR(FDS(MO.Ticker.FactSet,"P_PRICE_HIGH"&amp;"("&amp;INDEX(MO_SNA_FPStartDate,0,COLUMN())&amp;","&amp;INDEX(MO_Common_QEndDate,0,COLUMN())&amp;",,,,""PRICE"",""CLOSE"")"),"N/A")</f>
        <v>N/A</v>
      </c>
      <c r="AC857" s="412" t="str">
        <f ca="1">IFERROR(FDS(MO.Ticker.FactSet,"P_PRICE_HIGH"&amp;"("&amp;INDEX(MO_SNA_FPStartDate,0,COLUMN())&amp;","&amp;INDEX(MO_Common_QEndDate,0,COLUMN())&amp;",,,,""PRICE"",""CLOSE"")"),"N/A")</f>
        <v>N/A</v>
      </c>
      <c r="AD857" s="412" t="str">
        <f ca="1">IFERROR(FDS(MO.Ticker.FactSet,"P_PRICE_HIGH"&amp;"("&amp;INDEX(MO_SNA_FPStartDate,0,COLUMN())&amp;","&amp;INDEX(MO_Common_QEndDate,0,COLUMN())&amp;",,,,""PRICE"",""CLOSE"")"),"N/A")</f>
        <v>N/A</v>
      </c>
      <c r="AE857" s="412" t="str">
        <f ca="1">IFERROR(FDS(MO.Ticker.FactSet,"P_PRICE_HIGH"&amp;"("&amp;INDEX(MO_SNA_FPStartDate,0,COLUMN())&amp;","&amp;INDEX(MO_Common_QEndDate,0,COLUMN())&amp;",,,,""PRICE"",""CLOSE"")"),"N/A")</f>
        <v>N/A</v>
      </c>
      <c r="AF857" s="412" t="str">
        <f ca="1">IFERROR(FDS(MO.Ticker.FactSet,"P_PRICE_HIGH"&amp;"("&amp;INDEX(MO_SNA_FPStartDate,0,COLUMN())&amp;","&amp;INDEX(MO_Common_QEndDate,0,COLUMN())&amp;",,,,""PRICE"",""CLOSE"")"),"N/A")</f>
        <v>N/A</v>
      </c>
      <c r="AG857" s="412" t="str">
        <f ca="1">IFERROR(FDS(MO.Ticker.FactSet,"P_PRICE_HIGH"&amp;"("&amp;INDEX(MO_SNA_FPStartDate,0,COLUMN())&amp;","&amp;INDEX(MO_Common_QEndDate,0,COLUMN())&amp;",,,,""PRICE"",""CLOSE"")"),"N/A")</f>
        <v>N/A</v>
      </c>
      <c r="AH857" s="412" t="str">
        <f ca="1">IFERROR(FDS(MO.Ticker.FactSet,"P_PRICE_HIGH"&amp;"("&amp;INDEX(MO_SNA_FPStartDate,0,COLUMN())&amp;","&amp;INDEX(MO_Common_QEndDate,0,COLUMN())&amp;",,,,""PRICE"",""CLOSE"")"),"N/A")</f>
        <v>N/A</v>
      </c>
      <c r="AI857" s="412" t="str">
        <f ca="1">IFERROR(FDS(MO.Ticker.FactSet,"P_PRICE_HIGH"&amp;"("&amp;INDEX(MO_SNA_FPStartDate,0,COLUMN())&amp;","&amp;INDEX(MO_Common_QEndDate,0,COLUMN())&amp;",,,,""PRICE"",""CLOSE"")"),"N/A")</f>
        <v>N/A</v>
      </c>
      <c r="AJ857" s="412" t="str">
        <f ca="1">IFERROR(FDS(MO.Ticker.FactSet,"P_PRICE_HIGH"&amp;"("&amp;INDEX(MO_SNA_FPStartDate,0,COLUMN())&amp;","&amp;INDEX(MO_Common_QEndDate,0,COLUMN())&amp;",,,,""PRICE"",""CLOSE"")"),"N/A")</f>
        <v>N/A</v>
      </c>
      <c r="AK857" s="412" t="str">
        <f ca="1">IFERROR(FDS(MO.Ticker.FactSet,"P_PRICE_HIGH"&amp;"("&amp;INDEX(MO_SNA_FPStartDate,0,COLUMN())&amp;","&amp;INDEX(MO_Common_QEndDate,0,COLUMN())&amp;",,,,""PRICE"",""CLOSE"")"),"N/A")</f>
        <v>N/A</v>
      </c>
      <c r="AL857" s="412" t="str">
        <f ca="1">IFERROR(FDS(MO.Ticker.FactSet,"P_PRICE_HIGH"&amp;"("&amp;INDEX(MO_SNA_FPStartDate,0,COLUMN())&amp;","&amp;INDEX(MO_Common_QEndDate,0,COLUMN())&amp;",,,,""PRICE"",""CLOSE"")"),"N/A")</f>
        <v>N/A</v>
      </c>
      <c r="AM857" s="412" t="str">
        <f ca="1">IFERROR(FDS(MO.Ticker.FactSet,"P_PRICE_HIGH"&amp;"("&amp;INDEX(MO_SNA_FPStartDate,0,COLUMN())&amp;","&amp;INDEX(MO_Common_QEndDate,0,COLUMN())&amp;",,,,""PRICE"",""CLOSE"")"),"N/A")</f>
        <v>N/A</v>
      </c>
      <c r="AN857" s="412" t="str">
        <f ca="1">IFERROR(FDS(MO.Ticker.FactSet,"P_PRICE_HIGH"&amp;"("&amp;INDEX(MO_SNA_FPStartDate,0,COLUMN())&amp;","&amp;INDEX(MO_Common_QEndDate,0,COLUMN())&amp;",,,,""PRICE"",""CLOSE"")"),"N/A")</f>
        <v>N/A</v>
      </c>
      <c r="AO857" s="412" t="str">
        <f ca="1">IFERROR(FDS(MO.Ticker.FactSet,"P_PRICE_HIGH"&amp;"("&amp;INDEX(MO_SNA_FPStartDate,0,COLUMN())&amp;","&amp;INDEX(MO_Common_QEndDate,0,COLUMN())&amp;",,,,""PRICE"",""CLOSE"")"),"N/A")</f>
        <v>N/A</v>
      </c>
      <c r="AP857" s="412" t="str">
        <f ca="1">IFERROR(FDS(MO.Ticker.FactSet,"P_PRICE_HIGH"&amp;"("&amp;INDEX(MO_SNA_FPStartDate,0,COLUMN())&amp;","&amp;INDEX(MO_Common_QEndDate,0,COLUMN())&amp;",,,,""PRICE"",""CLOSE"")"),"N/A")</f>
        <v>N/A</v>
      </c>
      <c r="AQ857" s="412" t="str">
        <f ca="1">IFERROR(FDS(MO.Ticker.FactSet,"P_PRICE_HIGH"&amp;"("&amp;INDEX(MO_SNA_FPStartDate,0,COLUMN())&amp;","&amp;INDEX(MO_Common_QEndDate,0,COLUMN())&amp;",,,,""PRICE"",""CLOSE"")"),"N/A")</f>
        <v>N/A</v>
      </c>
      <c r="AR857" s="412" t="str">
        <f ca="1">IFERROR(FDS(MO.Ticker.FactSet,"P_PRICE_HIGH"&amp;"("&amp;INDEX(MO_SNA_FPStartDate,0,COLUMN())&amp;","&amp;INDEX(MO_Common_QEndDate,0,COLUMN())&amp;",,,,""PRICE"",""CLOSE"")"),"N/A")</f>
        <v>N/A</v>
      </c>
      <c r="AS857" s="412" t="str">
        <f ca="1">IFERROR(FDS(MO.Ticker.FactSet,"P_PRICE_HIGH"&amp;"("&amp;INDEX(MO_SNA_FPStartDate,0,COLUMN())&amp;","&amp;INDEX(MO_Common_QEndDate,0,COLUMN())&amp;",,,,""PRICE"",""CLOSE"")"),"N/A")</f>
        <v>N/A</v>
      </c>
      <c r="AT857" s="412" t="str">
        <f ca="1">IFERROR(FDS(MO.Ticker.FactSet,"P_PRICE_HIGH"&amp;"("&amp;INDEX(MO_SNA_FPStartDate,0,COLUMN())&amp;","&amp;INDEX(MO_Common_QEndDate,0,COLUMN())&amp;",,,,""PRICE"",""CLOSE"")"),"N/A")</f>
        <v>N/A</v>
      </c>
      <c r="AU857" s="412" t="str">
        <f ca="1">IFERROR(FDS(MO.Ticker.FactSet,"P_PRICE_HIGH"&amp;"("&amp;INDEX(MO_SNA_FPStartDate,0,COLUMN())&amp;","&amp;INDEX(MO_Common_QEndDate,0,COLUMN())&amp;",,,,""PRICE"",""CLOSE"")"),"N/A")</f>
        <v>N/A</v>
      </c>
      <c r="AV857" s="412" t="str">
        <f ca="1">IFERROR(FDS(MO.Ticker.FactSet,"P_PRICE_HIGH"&amp;"("&amp;INDEX(MO_SNA_FPStartDate,0,COLUMN())&amp;","&amp;INDEX(MO_Common_QEndDate,0,COLUMN())&amp;",,,,""PRICE"",""CLOSE"")"),"N/A")</f>
        <v>N/A</v>
      </c>
      <c r="AW857" s="752" t="str">
        <f ca="1">IFERROR(FDS(MO.Ticker.FactSet,"P_PRICE_HIGH"&amp;"("&amp;INDEX(MO_SNA_FPStartDate,0,COLUMN())&amp;","&amp;INDEX(MO_Common_QEndDate,0,COLUMN())&amp;",,,,""PRICE"",""CLOSE"")"),"N/A")</f>
        <v>N/A</v>
      </c>
      <c r="AX857" s="412" t="str">
        <f ca="1">IFERROR(FDS(MO.Ticker.FactSet,"P_PRICE_HIGH"&amp;"("&amp;INDEX(MO_SNA_FPStartDate,0,COLUMN())&amp;","&amp;INDEX(MO_Common_QEndDate,0,COLUMN())&amp;",,,,""PRICE"",""CLOSE"")"),"N/A")</f>
        <v>N/A</v>
      </c>
      <c r="AY857" s="412" t="str">
        <f ca="1">IFERROR(FDS(MO.Ticker.FactSet,"P_PRICE_HIGH"&amp;"("&amp;INDEX(MO_SNA_FPStartDate,0,COLUMN())&amp;","&amp;INDEX(MO_Common_QEndDate,0,COLUMN())&amp;",,,,""PRICE"",""CLOSE"")"),"N/A")</f>
        <v>N/A</v>
      </c>
      <c r="AZ857" s="412" t="str">
        <f ca="1">IFERROR(FDS(MO.Ticker.FactSet,"P_PRICE_HIGH"&amp;"("&amp;INDEX(MO_SNA_FPStartDate,0,COLUMN())&amp;","&amp;INDEX(MO_Common_QEndDate,0,COLUMN())&amp;",,,,""PRICE"",""CLOSE"")"),"N/A")</f>
        <v>N/A</v>
      </c>
      <c r="BA857" s="412" t="str">
        <f ca="1">IFERROR(FDS(MO.Ticker.FactSet,"P_PRICE_HIGH"&amp;"("&amp;INDEX(MO_SNA_FPStartDate,0,COLUMN())&amp;","&amp;INDEX(MO_Common_QEndDate,0,COLUMN())&amp;",,,,""PRICE"",""CLOSE"")"),"N/A")</f>
        <v>N/A</v>
      </c>
      <c r="BB857" s="412" t="str">
        <f ca="1">IFERROR(FDS(MO.Ticker.FactSet,"P_PRICE_HIGH"&amp;"("&amp;INDEX(MO_SNA_FPStartDate,0,COLUMN())&amp;","&amp;INDEX(MO_Common_QEndDate,0,COLUMN())&amp;",,,,""PRICE"",""CLOSE"")"),"N/A")</f>
        <v>N/A</v>
      </c>
      <c r="BC857" s="412" t="str">
        <f ca="1">IFERROR(FDS(MO.Ticker.FactSet,"P_PRICE_HIGH"&amp;"("&amp;INDEX(MO_SNA_FPStartDate,0,COLUMN())&amp;","&amp;INDEX(MO_Common_QEndDate,0,COLUMN())&amp;",,,,""PRICE"",""CLOSE"")"),"N/A")</f>
        <v>N/A</v>
      </c>
      <c r="BD857" s="412" t="str">
        <f ca="1">IFERROR(FDS(MO.Ticker.FactSet,"P_PRICE_HIGH"&amp;"("&amp;INDEX(MO_SNA_FPStartDate,0,COLUMN())&amp;","&amp;INDEX(MO_Common_QEndDate,0,COLUMN())&amp;",,,,""PRICE"",""CLOSE"")"),"N/A")</f>
        <v>N/A</v>
      </c>
      <c r="BE857" s="412" t="str">
        <f ca="1">IFERROR(FDS(MO.Ticker.FactSet,"P_PRICE_HIGH"&amp;"("&amp;INDEX(MO_SNA_FPStartDate,0,COLUMN())&amp;","&amp;INDEX(MO_Common_QEndDate,0,COLUMN())&amp;",,,,""PRICE"",""CLOSE"")"),"N/A")</f>
        <v>N/A</v>
      </c>
      <c r="BF857" s="412" t="str">
        <f ca="1">IFERROR(FDS(MO.Ticker.FactSet,"P_PRICE_HIGH"&amp;"("&amp;INDEX(MO_SNA_FPStartDate,0,COLUMN())&amp;","&amp;INDEX(MO_Common_QEndDate,0,COLUMN())&amp;",,,,""PRICE"",""CLOSE"")"),"N/A")</f>
        <v>N/A</v>
      </c>
      <c r="BG857" s="412" t="str">
        <f ca="1">IFERROR(FDS(MO.Ticker.FactSet,"P_PRICE_HIGH"&amp;"("&amp;INDEX(MO_SNA_FPStartDate,0,COLUMN())&amp;","&amp;INDEX(MO_Common_QEndDate,0,COLUMN())&amp;",,,,""PRICE"",""CLOSE"")"),"N/A")</f>
        <v>N/A</v>
      </c>
      <c r="BH857" s="476"/>
    </row>
    <row r="858" spans="1:60" s="415" customFormat="1" hidden="1" outlineLevel="1" x14ac:dyDescent="0.25">
      <c r="A858" s="416" t="s">
        <v>567</v>
      </c>
      <c r="B858" s="412"/>
      <c r="C858" s="413" t="str">
        <f>IFERROR(_xll.TR(MO.Ticker.Thomson,"MAX(TR.Pricehigh)","sdate:#1 edate:#2",,INDEX(MO_SNA_FPStartDate,0,COLUMN()),INDEX(MO_Common_QEndDate,0,COLUMN())),"N/A")</f>
        <v>Not Signed In</v>
      </c>
      <c r="D858" s="413" t="str">
        <f>IFERROR(_xll.TR(MO.Ticker.Thomson,"MAX(TR.Pricehigh)","sdate:#1 edate:#2",,INDEX(MO_SNA_FPStartDate,0,COLUMN()),INDEX(MO_Common_QEndDate,0,COLUMN())),"N/A")</f>
        <v>Not Signed In</v>
      </c>
      <c r="E858" s="412" t="str">
        <f>IFERROR(_xll.TR(MO.Ticker.Thomson,"MAX(TR.Pricehigh)","sdate:#1 edate:#2",,INDEX(MO_SNA_FPStartDate,0,COLUMN()),INDEX(MO_Common_QEndDate,0,COLUMN())),"N/A")</f>
        <v>Not Signed In</v>
      </c>
      <c r="F858" s="412" t="str">
        <f>IFERROR(_xll.TR(MO.Ticker.Thomson,"MAX(TR.Pricehigh)","sdate:#1 edate:#2",,INDEX(MO_SNA_FPStartDate,0,COLUMN()),INDEX(MO_Common_QEndDate,0,COLUMN())),"N/A")</f>
        <v>Not Signed In</v>
      </c>
      <c r="G858" s="412" t="str">
        <f>IFERROR(_xll.TR(MO.Ticker.Thomson,"MAX(TR.Pricehigh)","sdate:#1 edate:#2",,INDEX(MO_SNA_FPStartDate,0,COLUMN()),INDEX(MO_Common_QEndDate,0,COLUMN())),"N/A")</f>
        <v>Not Signed In</v>
      </c>
      <c r="H858" s="412" t="str">
        <f>IFERROR(_xll.TR(MO.Ticker.Thomson,"MAX(TR.Pricehigh)","sdate:#1 edate:#2",,INDEX(MO_SNA_FPStartDate,0,COLUMN()),INDEX(MO_Common_QEndDate,0,COLUMN())),"N/A")</f>
        <v>Not Signed In</v>
      </c>
      <c r="I858" s="412" t="str">
        <f>IFERROR(_xll.TR(MO.Ticker.Thomson,"MAX(TR.Pricehigh)","sdate:#1 edate:#2",,INDEX(MO_SNA_FPStartDate,0,COLUMN()),INDEX(MO_Common_QEndDate,0,COLUMN())),"N/A")</f>
        <v>Not Signed In</v>
      </c>
      <c r="J858" s="412" t="str">
        <f>IFERROR(_xll.TR(MO.Ticker.Thomson,"MAX(TR.Pricehigh)","sdate:#1 edate:#2",,INDEX(MO_SNA_FPStartDate,0,COLUMN()),INDEX(MO_Common_QEndDate,0,COLUMN())),"N/A")</f>
        <v>Not Signed In</v>
      </c>
      <c r="K858" s="412" t="str">
        <f>IFERROR(_xll.TR(MO.Ticker.Thomson,"MAX(TR.Pricehigh)","sdate:#1 edate:#2",,INDEX(MO_SNA_FPStartDate,0,COLUMN()),INDEX(MO_Common_QEndDate,0,COLUMN())),"N/A")</f>
        <v>Not Signed In</v>
      </c>
      <c r="L858" s="412" t="str">
        <f>IFERROR(_xll.TR(MO.Ticker.Thomson,"MAX(TR.Pricehigh)","sdate:#1 edate:#2",,INDEX(MO_SNA_FPStartDate,0,COLUMN()),INDEX(MO_Common_QEndDate,0,COLUMN())),"N/A")</f>
        <v>Not Signed In</v>
      </c>
      <c r="M858" s="412" t="str">
        <f>IFERROR(_xll.TR(MO.Ticker.Thomson,"MAX(TR.Pricehigh)","sdate:#1 edate:#2",,INDEX(MO_SNA_FPStartDate,0,COLUMN()),INDEX(MO_Common_QEndDate,0,COLUMN())),"N/A")</f>
        <v>Not Signed In</v>
      </c>
      <c r="N858" s="412" t="str">
        <f>IFERROR(_xll.TR(MO.Ticker.Thomson,"MAX(TR.Pricehigh)","sdate:#1 edate:#2",,INDEX(MO_SNA_FPStartDate,0,COLUMN()),INDEX(MO_Common_QEndDate,0,COLUMN())),"N/A")</f>
        <v>Not Signed In</v>
      </c>
      <c r="O858" s="412" t="str">
        <f>IFERROR(_xll.TR(MO.Ticker.Thomson,"MAX(TR.Pricehigh)","sdate:#1 edate:#2",,INDEX(MO_SNA_FPStartDate,0,COLUMN()),INDEX(MO_Common_QEndDate,0,COLUMN())),"N/A")</f>
        <v>Not Signed In</v>
      </c>
      <c r="P858" s="412" t="str">
        <f>IFERROR(_xll.TR(MO.Ticker.Thomson,"MAX(TR.Pricehigh)","sdate:#1 edate:#2",,INDEX(MO_SNA_FPStartDate,0,COLUMN()),INDEX(MO_Common_QEndDate,0,COLUMN())),"N/A")</f>
        <v>Not Signed In</v>
      </c>
      <c r="Q858" s="412" t="str">
        <f>IFERROR(_xll.TR(MO.Ticker.Thomson,"MAX(TR.Pricehigh)","sdate:#1 edate:#2",,INDEX(MO_SNA_FPStartDate,0,COLUMN()),INDEX(MO_Common_QEndDate,0,COLUMN())),"N/A")</f>
        <v>Not Signed In</v>
      </c>
      <c r="R858" s="412" t="str">
        <f>IFERROR(_xll.TR(MO.Ticker.Thomson,"MAX(TR.Pricehigh)","sdate:#1 edate:#2",,INDEX(MO_SNA_FPStartDate,0,COLUMN()),INDEX(MO_Common_QEndDate,0,COLUMN())),"N/A")</f>
        <v>Not Signed In</v>
      </c>
      <c r="S858" s="412" t="str">
        <f>IFERROR(_xll.TR(MO.Ticker.Thomson,"MAX(TR.Pricehigh)","sdate:#1 edate:#2",,INDEX(MO_SNA_FPStartDate,0,COLUMN()),INDEX(MO_Common_QEndDate,0,COLUMN())),"N/A")</f>
        <v>Not Signed In</v>
      </c>
      <c r="T858" s="412" t="str">
        <f>IFERROR(_xll.TR(MO.Ticker.Thomson,"MAX(TR.Pricehigh)","sdate:#1 edate:#2",,INDEX(MO_SNA_FPStartDate,0,COLUMN()),INDEX(MO_Common_QEndDate,0,COLUMN())),"N/A")</f>
        <v>Not Signed In</v>
      </c>
      <c r="U858" s="412" t="str">
        <f>IFERROR(_xll.TR(MO.Ticker.Thomson,"MAX(TR.Pricehigh)","sdate:#1 edate:#2",,INDEX(MO_SNA_FPStartDate,0,COLUMN()),INDEX(MO_Common_QEndDate,0,COLUMN())),"N/A")</f>
        <v>Not Signed In</v>
      </c>
      <c r="V858" s="412" t="str">
        <f>IFERROR(_xll.TR(MO.Ticker.Thomson,"MAX(TR.Pricehigh)","sdate:#1 edate:#2",,INDEX(MO_SNA_FPStartDate,0,COLUMN()),INDEX(MO_Common_QEndDate,0,COLUMN())),"N/A")</f>
        <v>Not Signed In</v>
      </c>
      <c r="W858" s="412" t="str">
        <f>IFERROR(_xll.TR(MO.Ticker.Thomson,"MAX(TR.Pricehigh)","sdate:#1 edate:#2",,INDEX(MO_SNA_FPStartDate,0,COLUMN()),INDEX(MO_Common_QEndDate,0,COLUMN())),"N/A")</f>
        <v>Not Signed In</v>
      </c>
      <c r="X858" s="412" t="str">
        <f>IFERROR(_xll.TR(MO.Ticker.Thomson,"MAX(TR.Pricehigh)","sdate:#1 edate:#2",,INDEX(MO_SNA_FPStartDate,0,COLUMN()),INDEX(MO_Common_QEndDate,0,COLUMN())),"N/A")</f>
        <v>Not Signed In</v>
      </c>
      <c r="Y858" s="412" t="str">
        <f>IFERROR(_xll.TR(MO.Ticker.Thomson,"MAX(TR.Pricehigh)","sdate:#1 edate:#2",,INDEX(MO_SNA_FPStartDate,0,COLUMN()),INDEX(MO_Common_QEndDate,0,COLUMN())),"N/A")</f>
        <v>Not Signed In</v>
      </c>
      <c r="Z858" s="412" t="str">
        <f>IFERROR(_xll.TR(MO.Ticker.Thomson,"MAX(TR.Pricehigh)","sdate:#1 edate:#2",,INDEX(MO_SNA_FPStartDate,0,COLUMN()),INDEX(MO_Common_QEndDate,0,COLUMN())),"N/A")</f>
        <v>Not Signed In</v>
      </c>
      <c r="AA858" s="412" t="str">
        <f>IFERROR(_xll.TR(MO.Ticker.Thomson,"MAX(TR.Pricehigh)","sdate:#1 edate:#2",,INDEX(MO_SNA_FPStartDate,0,COLUMN()),INDEX(MO_Common_QEndDate,0,COLUMN())),"N/A")</f>
        <v>Not Signed In</v>
      </c>
      <c r="AB858" s="412" t="str">
        <f>IFERROR(_xll.TR(MO.Ticker.Thomson,"MAX(TR.Pricehigh)","sdate:#1 edate:#2",,INDEX(MO_SNA_FPStartDate,0,COLUMN()),INDEX(MO_Common_QEndDate,0,COLUMN())),"N/A")</f>
        <v>Not Signed In</v>
      </c>
      <c r="AC858" s="412" t="str">
        <f>IFERROR(_xll.TR(MO.Ticker.Thomson,"MAX(TR.Pricehigh)","sdate:#1 edate:#2",,INDEX(MO_SNA_FPStartDate,0,COLUMN()),INDEX(MO_Common_QEndDate,0,COLUMN())),"N/A")</f>
        <v>Not Signed In</v>
      </c>
      <c r="AD858" s="412" t="str">
        <f>IFERROR(_xll.TR(MO.Ticker.Thomson,"MAX(TR.Pricehigh)","sdate:#1 edate:#2",,INDEX(MO_SNA_FPStartDate,0,COLUMN()),INDEX(MO_Common_QEndDate,0,COLUMN())),"N/A")</f>
        <v>Not Signed In</v>
      </c>
      <c r="AE858" s="412" t="str">
        <f>IFERROR(_xll.TR(MO.Ticker.Thomson,"MAX(TR.Pricehigh)","sdate:#1 edate:#2",,INDEX(MO_SNA_FPStartDate,0,COLUMN()),INDEX(MO_Common_QEndDate,0,COLUMN())),"N/A")</f>
        <v>Not Signed In</v>
      </c>
      <c r="AF858" s="412" t="str">
        <f>IFERROR(_xll.TR(MO.Ticker.Thomson,"MAX(TR.Pricehigh)","sdate:#1 edate:#2",,INDEX(MO_SNA_FPStartDate,0,COLUMN()),INDEX(MO_Common_QEndDate,0,COLUMN())),"N/A")</f>
        <v>Not Signed In</v>
      </c>
      <c r="AG858" s="412" t="str">
        <f>IFERROR(_xll.TR(MO.Ticker.Thomson,"MAX(TR.Pricehigh)","sdate:#1 edate:#2",,INDEX(MO_SNA_FPStartDate,0,COLUMN()),INDEX(MO_Common_QEndDate,0,COLUMN())),"N/A")</f>
        <v>Not Signed In</v>
      </c>
      <c r="AH858" s="412" t="str">
        <f>IFERROR(_xll.TR(MO.Ticker.Thomson,"MAX(TR.Pricehigh)","sdate:#1 edate:#2",,INDEX(MO_SNA_FPStartDate,0,COLUMN()),INDEX(MO_Common_QEndDate,0,COLUMN())),"N/A")</f>
        <v>Not Signed In</v>
      </c>
      <c r="AI858" s="412" t="str">
        <f>IFERROR(_xll.TR(MO.Ticker.Thomson,"MAX(TR.Pricehigh)","sdate:#1 edate:#2",,INDEX(MO_SNA_FPStartDate,0,COLUMN()),INDEX(MO_Common_QEndDate,0,COLUMN())),"N/A")</f>
        <v>Not Signed In</v>
      </c>
      <c r="AJ858" s="412" t="str">
        <f>IFERROR(_xll.TR(MO.Ticker.Thomson,"MAX(TR.Pricehigh)","sdate:#1 edate:#2",,INDEX(MO_SNA_FPStartDate,0,COLUMN()),INDEX(MO_Common_QEndDate,0,COLUMN())),"N/A")</f>
        <v>Not Signed In</v>
      </c>
      <c r="AK858" s="412" t="str">
        <f>IFERROR(_xll.TR(MO.Ticker.Thomson,"MAX(TR.Pricehigh)","sdate:#1 edate:#2",,INDEX(MO_SNA_FPStartDate,0,COLUMN()),INDEX(MO_Common_QEndDate,0,COLUMN())),"N/A")</f>
        <v>Not Signed In</v>
      </c>
      <c r="AL858" s="412" t="str">
        <f>IFERROR(_xll.TR(MO.Ticker.Thomson,"MAX(TR.Pricehigh)","sdate:#1 edate:#2",,INDEX(MO_SNA_FPStartDate,0,COLUMN()),INDEX(MO_Common_QEndDate,0,COLUMN())),"N/A")</f>
        <v>Not Signed In</v>
      </c>
      <c r="AM858" s="412" t="str">
        <f>IFERROR(_xll.TR(MO.Ticker.Thomson,"MAX(TR.Pricehigh)","sdate:#1 edate:#2",,INDEX(MO_SNA_FPStartDate,0,COLUMN()),INDEX(MO_Common_QEndDate,0,COLUMN())),"N/A")</f>
        <v>Not Signed In</v>
      </c>
      <c r="AN858" s="412" t="str">
        <f>IFERROR(_xll.TR(MO.Ticker.Thomson,"MAX(TR.Pricehigh)","sdate:#1 edate:#2",,INDEX(MO_SNA_FPStartDate,0,COLUMN()),INDEX(MO_Common_QEndDate,0,COLUMN())),"N/A")</f>
        <v>Not Signed In</v>
      </c>
      <c r="AO858" s="412" t="str">
        <f>IFERROR(_xll.TR(MO.Ticker.Thomson,"MAX(TR.Pricehigh)","sdate:#1 edate:#2",,INDEX(MO_SNA_FPStartDate,0,COLUMN()),INDEX(MO_Common_QEndDate,0,COLUMN())),"N/A")</f>
        <v>Not Signed In</v>
      </c>
      <c r="AP858" s="412" t="str">
        <f>IFERROR(_xll.TR(MO.Ticker.Thomson,"MAX(TR.Pricehigh)","sdate:#1 edate:#2",,INDEX(MO_SNA_FPStartDate,0,COLUMN()),INDEX(MO_Common_QEndDate,0,COLUMN())),"N/A")</f>
        <v>Not Signed In</v>
      </c>
      <c r="AQ858" s="412" t="str">
        <f>IFERROR(_xll.TR(MO.Ticker.Thomson,"MAX(TR.Pricehigh)","sdate:#1 edate:#2",,INDEX(MO_SNA_FPStartDate,0,COLUMN()),INDEX(MO_Common_QEndDate,0,COLUMN())),"N/A")</f>
        <v>Not Signed In</v>
      </c>
      <c r="AR858" s="412" t="str">
        <f>IFERROR(_xll.TR(MO.Ticker.Thomson,"MAX(TR.Pricehigh)","sdate:#1 edate:#2",,INDEX(MO_SNA_FPStartDate,0,COLUMN()),INDEX(MO_Common_QEndDate,0,COLUMN())),"N/A")</f>
        <v>Not Signed In</v>
      </c>
      <c r="AS858" s="412" t="str">
        <f>IFERROR(_xll.TR(MO.Ticker.Thomson,"MAX(TR.Pricehigh)","sdate:#1 edate:#2",,INDEX(MO_SNA_FPStartDate,0,COLUMN()),INDEX(MO_Common_QEndDate,0,COLUMN())),"N/A")</f>
        <v>Not Signed In</v>
      </c>
      <c r="AT858" s="412" t="str">
        <f>IFERROR(_xll.TR(MO.Ticker.Thomson,"MAX(TR.Pricehigh)","sdate:#1 edate:#2",,INDEX(MO_SNA_FPStartDate,0,COLUMN()),INDEX(MO_Common_QEndDate,0,COLUMN())),"N/A")</f>
        <v>Not Signed In</v>
      </c>
      <c r="AU858" s="412" t="str">
        <f>IFERROR(_xll.TR(MO.Ticker.Thomson,"MAX(TR.Pricehigh)","sdate:#1 edate:#2",,INDEX(MO_SNA_FPStartDate,0,COLUMN()),INDEX(MO_Common_QEndDate,0,COLUMN())),"N/A")</f>
        <v>Not Signed In</v>
      </c>
      <c r="AV858" s="412" t="str">
        <f>IFERROR(_xll.TR(MO.Ticker.Thomson,"MAX(TR.Pricehigh)","sdate:#1 edate:#2",,INDEX(MO_SNA_FPStartDate,0,COLUMN()),INDEX(MO_Common_QEndDate,0,COLUMN())),"N/A")</f>
        <v>Not Signed In</v>
      </c>
      <c r="AW858" s="752" t="str">
        <f>IFERROR(_xll.TR(MO.Ticker.Thomson,"MAX(TR.Pricehigh)","sdate:#1 edate:#2",,INDEX(MO_SNA_FPStartDate,0,COLUMN()),INDEX(MO_Common_QEndDate,0,COLUMN())),"N/A")</f>
        <v>Not Signed In</v>
      </c>
      <c r="AX858" s="412" t="str">
        <f>IFERROR(_xll.TR(MO.Ticker.Thomson,"MAX(TR.Pricehigh)","sdate:#1 edate:#2",,INDEX(MO_SNA_FPStartDate,0,COLUMN()),INDEX(MO_Common_QEndDate,0,COLUMN())),"N/A")</f>
        <v>Not Signed In</v>
      </c>
      <c r="AY858" s="412" t="str">
        <f>IFERROR(_xll.TR(MO.Ticker.Thomson,"MAX(TR.Pricehigh)","sdate:#1 edate:#2",,INDEX(MO_SNA_FPStartDate,0,COLUMN()),INDEX(MO_Common_QEndDate,0,COLUMN())),"N/A")</f>
        <v>Not Signed In</v>
      </c>
      <c r="AZ858" s="412" t="str">
        <f>IFERROR(_xll.TR(MO.Ticker.Thomson,"MAX(TR.Pricehigh)","sdate:#1 edate:#2",,INDEX(MO_SNA_FPStartDate,0,COLUMN()),INDEX(MO_Common_QEndDate,0,COLUMN())),"N/A")</f>
        <v>Not Signed In</v>
      </c>
      <c r="BA858" s="412" t="str">
        <f>IFERROR(_xll.TR(MO.Ticker.Thomson,"MAX(TR.Pricehigh)","sdate:#1 edate:#2",,INDEX(MO_SNA_FPStartDate,0,COLUMN()),INDEX(MO_Common_QEndDate,0,COLUMN())),"N/A")</f>
        <v>Not Signed In</v>
      </c>
      <c r="BB858" s="412" t="str">
        <f>IFERROR(_xll.TR(MO.Ticker.Thomson,"MAX(TR.Pricehigh)","sdate:#1 edate:#2",,INDEX(MO_SNA_FPStartDate,0,COLUMN()),INDEX(MO_Common_QEndDate,0,COLUMN())),"N/A")</f>
        <v>Not Signed In</v>
      </c>
      <c r="BC858" s="412" t="str">
        <f>IFERROR(_xll.TR(MO.Ticker.Thomson,"MAX(TR.Pricehigh)","sdate:#1 edate:#2",,INDEX(MO_SNA_FPStartDate,0,COLUMN()),INDEX(MO_Common_QEndDate,0,COLUMN())),"N/A")</f>
        <v>Not Signed In</v>
      </c>
      <c r="BD858" s="412" t="str">
        <f>IFERROR(_xll.TR(MO.Ticker.Thomson,"MAX(TR.Pricehigh)","sdate:#1 edate:#2",,INDEX(MO_SNA_FPStartDate,0,COLUMN()),INDEX(MO_Common_QEndDate,0,COLUMN())),"N/A")</f>
        <v>Not Signed In</v>
      </c>
      <c r="BE858" s="412" t="str">
        <f>IFERROR(_xll.TR(MO.Ticker.Thomson,"MAX(TR.Pricehigh)","sdate:#1 edate:#2",,INDEX(MO_SNA_FPStartDate,0,COLUMN()),INDEX(MO_Common_QEndDate,0,COLUMN())),"N/A")</f>
        <v>Not Signed In</v>
      </c>
      <c r="BF858" s="412" t="str">
        <f>IFERROR(_xll.TR(MO.Ticker.Thomson,"MAX(TR.Pricehigh)","sdate:#1 edate:#2",,INDEX(MO_SNA_FPStartDate,0,COLUMN()),INDEX(MO_Common_QEndDate,0,COLUMN())),"N/A")</f>
        <v>Not Signed In</v>
      </c>
      <c r="BG858" s="412" t="str">
        <f>IFERROR(_xll.TR(MO.Ticker.Thomson,"MAX(TR.Pricehigh)","sdate:#1 edate:#2",,INDEX(MO_SNA_FPStartDate,0,COLUMN()),INDEX(MO_Common_QEndDate,0,COLUMN())),"N/A")</f>
        <v>Not Signed In</v>
      </c>
      <c r="BH858" s="476"/>
    </row>
    <row r="859" spans="1:60" hidden="1" outlineLevel="1" x14ac:dyDescent="0.25">
      <c r="A859" s="379"/>
      <c r="B859" s="1021"/>
      <c r="C859" s="194"/>
      <c r="D859" s="194"/>
      <c r="E859" s="1021"/>
      <c r="F859" s="1021"/>
      <c r="G859" s="1021"/>
      <c r="H859" s="1021"/>
      <c r="I859" s="1021"/>
      <c r="J859" s="1021"/>
      <c r="K859" s="1021"/>
      <c r="L859" s="1021"/>
      <c r="M859" s="1021"/>
      <c r="N859" s="1021"/>
      <c r="O859" s="1021"/>
      <c r="P859" s="381"/>
      <c r="Q859" s="1021"/>
      <c r="R859" s="1021"/>
      <c r="S859" s="1021"/>
      <c r="T859" s="1021"/>
      <c r="U859" s="1021"/>
      <c r="V859" s="1021"/>
      <c r="W859" s="1021"/>
      <c r="X859" s="1021"/>
      <c r="Y859" s="1021"/>
      <c r="Z859" s="1021"/>
      <c r="AA859" s="1021"/>
      <c r="AB859" s="1021"/>
      <c r="AC859" s="1021"/>
      <c r="AD859" s="1021"/>
      <c r="AE859" s="1021"/>
      <c r="AF859" s="1021"/>
      <c r="AG859" s="1021"/>
      <c r="AH859" s="1021"/>
      <c r="AI859" s="1021"/>
      <c r="AJ859" s="1021"/>
      <c r="AK859" s="1021"/>
      <c r="AL859" s="1021"/>
      <c r="AM859" s="1021"/>
      <c r="AN859" s="1021"/>
      <c r="AO859" s="1021"/>
      <c r="AP859" s="1021"/>
      <c r="AQ859" s="1021"/>
      <c r="AR859" s="1021"/>
      <c r="AS859" s="1021"/>
      <c r="AT859" s="1021"/>
      <c r="AU859" s="1021"/>
      <c r="AV859" s="1021"/>
      <c r="AW859" s="1022"/>
      <c r="AX859" s="1021"/>
      <c r="AY859" s="1021"/>
      <c r="AZ859" s="1021"/>
      <c r="BA859" s="1021"/>
      <c r="BB859" s="1021"/>
      <c r="BC859" s="1021"/>
      <c r="BD859" s="1021"/>
      <c r="BE859" s="1021"/>
      <c r="BF859" s="1021"/>
      <c r="BG859" s="1021"/>
      <c r="BH859" s="472"/>
    </row>
    <row r="860" spans="1:60" s="415" customFormat="1" collapsed="1" x14ac:dyDescent="0.25">
      <c r="A860" s="411" t="str">
        <f ca="1">"Stock Low: "&amp;IF(OR(MO.RealTimeStockPriceToggle=FALSE,VLOOKUP(MO.DataSourceName,MO_SPT_StockLow_Sources,COLUMN()+2,FALSE)="N/A"),"Real-Time Off Source",MO.DataSourceName)</f>
        <v>Stock Low: Real-Time Off Source</v>
      </c>
      <c r="B860" s="412"/>
      <c r="C860" s="413">
        <f t="shared" ref="C860:AH860" ca="1" si="921">IF(OR(MO.RealTimeStockPriceToggle=FALSE,VLOOKUP(MO.DataSourceName,MO_SPT_StockLow_Sources,COLUMN(),FALSE)="N/A"),VLOOKUP("Real-Time Off Source",MO_SPT_StockLow_Sources,COLUMN(),FALSE),VLOOKUP(MO.DataSourceName,MO_SPT_StockLow_Sources,COLUMN(),FALSE))</f>
        <v>0</v>
      </c>
      <c r="D860" s="413">
        <f t="shared" ca="1" si="921"/>
        <v>3.16</v>
      </c>
      <c r="E860" s="412">
        <f t="shared" ca="1" si="921"/>
        <v>4.3659999999999997</v>
      </c>
      <c r="F860" s="412">
        <f t="shared" ca="1" si="921"/>
        <v>4.5579999999999998</v>
      </c>
      <c r="G860" s="412">
        <f t="shared" ca="1" si="921"/>
        <v>6.5819999999999999</v>
      </c>
      <c r="H860" s="412">
        <f t="shared" ca="1" si="921"/>
        <v>8.1</v>
      </c>
      <c r="I860" s="412">
        <f t="shared" ca="1" si="921"/>
        <v>21.81</v>
      </c>
      <c r="J860" s="412">
        <f t="shared" ca="1" si="921"/>
        <v>24.1</v>
      </c>
      <c r="K860" s="412">
        <f t="shared" ca="1" si="921"/>
        <v>6.5819999999999999</v>
      </c>
      <c r="L860" s="412">
        <f t="shared" ca="1" si="921"/>
        <v>27.867999999999999</v>
      </c>
      <c r="M860" s="412">
        <f t="shared" ca="1" si="921"/>
        <v>35.718000000000004</v>
      </c>
      <c r="N860" s="412">
        <f t="shared" ca="1" si="921"/>
        <v>43.08</v>
      </c>
      <c r="O860" s="412">
        <f t="shared" ca="1" si="921"/>
        <v>39.561999999999998</v>
      </c>
      <c r="P860" s="412">
        <f t="shared" ca="1" si="921"/>
        <v>27.867999999999999</v>
      </c>
      <c r="Q860" s="412">
        <f t="shared" ca="1" si="921"/>
        <v>37</v>
      </c>
      <c r="R860" s="412">
        <f t="shared" ca="1" si="921"/>
        <v>37.518000000000001</v>
      </c>
      <c r="S860" s="412">
        <f t="shared" ca="1" si="921"/>
        <v>43.774000000000001</v>
      </c>
      <c r="T860" s="412">
        <f t="shared" ca="1" si="921"/>
        <v>41.386000000000003</v>
      </c>
      <c r="U860" s="412">
        <f t="shared" ca="1" si="921"/>
        <v>37</v>
      </c>
      <c r="V860" s="412">
        <f t="shared" ca="1" si="921"/>
        <v>28.734000000000002</v>
      </c>
      <c r="W860" s="412">
        <f t="shared" ca="1" si="921"/>
        <v>38.630000000000003</v>
      </c>
      <c r="X860" s="412">
        <f t="shared" ca="1" si="921"/>
        <v>38.893999999999998</v>
      </c>
      <c r="Y860" s="412">
        <f t="shared" ca="1" si="921"/>
        <v>36.29</v>
      </c>
      <c r="Z860" s="412">
        <f t="shared" ca="1" si="921"/>
        <v>28.734000000000002</v>
      </c>
      <c r="AA860" s="412">
        <f t="shared" ca="1" si="921"/>
        <v>43.398000000000003</v>
      </c>
      <c r="AB860" s="412">
        <f t="shared" ca="1" si="921"/>
        <v>59</v>
      </c>
      <c r="AC860" s="412">
        <f t="shared" ca="1" si="921"/>
        <v>61.765999999999998</v>
      </c>
      <c r="AD860" s="412">
        <f t="shared" ca="1" si="921"/>
        <v>59.851999999999997</v>
      </c>
      <c r="AE860" s="412">
        <f t="shared" ca="1" si="921"/>
        <v>43.398000000000003</v>
      </c>
      <c r="AF860" s="412">
        <f t="shared" ca="1" si="921"/>
        <v>51.555999999999997</v>
      </c>
      <c r="AG860" s="412">
        <f t="shared" ca="1" si="921"/>
        <v>50.496000000000002</v>
      </c>
      <c r="AH860" s="412">
        <f t="shared" ca="1" si="921"/>
        <v>52.648000000000003</v>
      </c>
      <c r="AI860" s="412">
        <f t="shared" ref="AI860:AY860" ca="1" si="922">IF(OR(MO.RealTimeStockPriceToggle=FALSE,VLOOKUP(MO.DataSourceName,MO_SPT_StockLow_Sources,COLUMN(),FALSE)="N/A"),VLOOKUP("Real-Time Off Source",MO_SPT_StockLow_Sources,COLUMN(),FALSE),VLOOKUP(MO.DataSourceName,MO_SPT_StockLow_Sources,COLUMN(),FALSE))</f>
        <v>50.112000000000002</v>
      </c>
      <c r="AJ860" s="412">
        <f t="shared" ca="1" si="922"/>
        <v>50.112000000000002</v>
      </c>
      <c r="AK860" s="412">
        <f t="shared" ca="1" si="922"/>
        <v>52.084000000000003</v>
      </c>
      <c r="AL860" s="412">
        <f t="shared" ca="1" si="922"/>
        <v>35.793999999999997</v>
      </c>
      <c r="AM860" s="412">
        <f t="shared" ca="1" si="922"/>
        <v>42.28</v>
      </c>
      <c r="AN860" s="412">
        <f t="shared" ca="1" si="922"/>
        <v>46.286000000000001</v>
      </c>
      <c r="AO860" s="412">
        <f t="shared" ca="1" si="922"/>
        <v>35.793999999999997</v>
      </c>
      <c r="AP860" s="412">
        <f t="shared" ca="1" si="922"/>
        <v>72.244</v>
      </c>
      <c r="AQ860" s="412">
        <f t="shared" ca="1" si="922"/>
        <v>90.894000000000005</v>
      </c>
      <c r="AR860" s="412">
        <f ca="1">IF(OR(MO.RealTimeStockPriceToggle=FALSE,VLOOKUP(MO.DataSourceName,MO_SPT_StockLow_Sources,COLUMN(),FALSE)="N/A"),VLOOKUP("Real-Time Off Source",MO_SPT_StockLow_Sources,COLUMN(),FALSE),VLOOKUP(MO.DataSourceName,MO_SPT_StockLow_Sources,COLUMN(),FALSE))</f>
        <v>223.92599999999999</v>
      </c>
      <c r="AS860" s="412">
        <f ca="1">IF(OR(MO.RealTimeStockPriceToggle=FALSE,VLOOKUP(MO.DataSourceName,MO_SPT_StockLow_Sources,COLUMN(),FALSE)="N/A"),VLOOKUP("Real-Time Off Source",MO_SPT_StockLow_Sources,COLUMN(),FALSE),VLOOKUP(MO.DataSourceName,MO_SPT_StockLow_Sources,COLUMN(),FALSE))</f>
        <v>388.04</v>
      </c>
      <c r="AT860" s="412">
        <f ca="1">IF(OR(MO.RealTimeStockPriceToggle=FALSE,VLOOKUP(MO.DataSourceName,MO_SPT_StockLow_Sources,COLUMN(),FALSE)="N/A"),VLOOKUP("Real-Time Off Source",MO_SPT_StockLow_Sources,COLUMN(),FALSE),VLOOKUP(MO.DataSourceName,MO_SPT_StockLow_Sources,COLUMN(),FALSE))</f>
        <v>72.244</v>
      </c>
      <c r="AU860" s="412">
        <f t="shared" ca="1" si="922"/>
        <v>563</v>
      </c>
      <c r="AV860" s="412">
        <f ca="1">IF(OR(MO.RealTimeStockPriceToggle=FALSE,VLOOKUP(MO.DataSourceName,MO_SPT_StockLow_Sources,COLUMN(),FALSE)="N/A"),VLOOKUP("Real-Time Off Source",MO_SPT_StockLow_Sources,COLUMN(),FALSE),VLOOKUP(MO.DataSourceName,MO_SPT_StockLow_Sources,COLUMN(),FALSE))</f>
        <v>563.46</v>
      </c>
      <c r="AW860" s="752">
        <f ca="1">IF(OR(MO.RealTimeStockPriceToggle=FALSE,VLOOKUP(MO.DataSourceName,MO_SPT_StockLow_Sources,COLUMN(),FALSE)="N/A"),VLOOKUP("Real-Time Off Source",MO_SPT_StockLow_Sources,COLUMN(),FALSE),VLOOKUP(MO.DataSourceName,MO_SPT_StockLow_Sources,COLUMN(),FALSE))</f>
        <v>643.38</v>
      </c>
      <c r="AX860" s="412">
        <f t="shared" ca="1" si="922"/>
        <v>0</v>
      </c>
      <c r="AY860" s="412">
        <f t="shared" ca="1" si="922"/>
        <v>0</v>
      </c>
      <c r="AZ860" s="412">
        <f t="shared" ref="AZ860:BG860" ca="1" si="923">IF(OR(MO.RealTimeStockPriceToggle=FALSE,VLOOKUP(MO.DataSourceName,MO_SPT_StockLow_Sources,COLUMN(),FALSE)="N/A"),VLOOKUP("Real-Time Off Source",MO_SPT_StockLow_Sources,COLUMN(),FALSE),VLOOKUP(MO.DataSourceName,MO_SPT_StockLow_Sources,COLUMN(),FALSE))</f>
        <v>0</v>
      </c>
      <c r="BA860" s="412">
        <f t="shared" ca="1" si="923"/>
        <v>0</v>
      </c>
      <c r="BB860" s="412">
        <f t="shared" ca="1" si="923"/>
        <v>0</v>
      </c>
      <c r="BC860" s="412">
        <f t="shared" ca="1" si="923"/>
        <v>0</v>
      </c>
      <c r="BD860" s="412">
        <f t="shared" ca="1" si="923"/>
        <v>0</v>
      </c>
      <c r="BE860" s="412">
        <f t="shared" ca="1" si="923"/>
        <v>0</v>
      </c>
      <c r="BF860" s="412">
        <f t="shared" ca="1" si="923"/>
        <v>0</v>
      </c>
      <c r="BG860" s="412">
        <f t="shared" ca="1" si="923"/>
        <v>0</v>
      </c>
      <c r="BH860" s="476"/>
    </row>
    <row r="861" spans="1:60" s="415" customFormat="1" hidden="1" outlineLevel="1" x14ac:dyDescent="0.25">
      <c r="A861" s="416" t="s">
        <v>332</v>
      </c>
      <c r="B861" s="412"/>
      <c r="C861" s="413">
        <v>0</v>
      </c>
      <c r="D861" s="413">
        <v>3.16</v>
      </c>
      <c r="E861" s="412">
        <v>4.3659999999999997</v>
      </c>
      <c r="F861" s="412">
        <v>4.5579999999999998</v>
      </c>
      <c r="G861" s="412">
        <v>6.5819999999999999</v>
      </c>
      <c r="H861" s="412">
        <v>8.1</v>
      </c>
      <c r="I861" s="412">
        <v>21.81</v>
      </c>
      <c r="J861" s="412">
        <v>24.1</v>
      </c>
      <c r="K861" s="412">
        <v>6.5819999999999999</v>
      </c>
      <c r="L861" s="412">
        <v>27.867999999999999</v>
      </c>
      <c r="M861" s="412">
        <v>35.718000000000004</v>
      </c>
      <c r="N861" s="412">
        <v>43.08</v>
      </c>
      <c r="O861" s="412">
        <v>39.561999999999998</v>
      </c>
      <c r="P861" s="412">
        <v>27.867999999999999</v>
      </c>
      <c r="Q861" s="412">
        <v>37</v>
      </c>
      <c r="R861" s="412">
        <v>37.518000000000001</v>
      </c>
      <c r="S861" s="412">
        <v>43.774000000000001</v>
      </c>
      <c r="T861" s="412">
        <v>41.386000000000003</v>
      </c>
      <c r="U861" s="412">
        <v>37</v>
      </c>
      <c r="V861" s="412">
        <v>28.734000000000002</v>
      </c>
      <c r="W861" s="412">
        <v>38.630000000000003</v>
      </c>
      <c r="X861" s="412">
        <v>38.893999999999998</v>
      </c>
      <c r="Y861" s="412">
        <v>36.29</v>
      </c>
      <c r="Z861" s="412">
        <v>28.734000000000002</v>
      </c>
      <c r="AA861" s="412">
        <v>43.398000000000003</v>
      </c>
      <c r="AB861" s="412">
        <v>59</v>
      </c>
      <c r="AC861" s="412">
        <v>61.765999999999998</v>
      </c>
      <c r="AD861" s="412">
        <v>59.851999999999997</v>
      </c>
      <c r="AE861" s="412">
        <v>43.398000000000003</v>
      </c>
      <c r="AF861" s="412">
        <v>51.555999999999997</v>
      </c>
      <c r="AG861" s="412">
        <v>50.496000000000002</v>
      </c>
      <c r="AH861" s="412">
        <v>52.648000000000003</v>
      </c>
      <c r="AI861" s="412">
        <v>50.112000000000002</v>
      </c>
      <c r="AJ861" s="412">
        <v>50.112000000000002</v>
      </c>
      <c r="AK861" s="412">
        <v>52.084000000000003</v>
      </c>
      <c r="AL861" s="412">
        <v>35.793999999999997</v>
      </c>
      <c r="AM861" s="412">
        <v>42.28</v>
      </c>
      <c r="AN861" s="412">
        <v>46.286000000000001</v>
      </c>
      <c r="AO861" s="412">
        <v>35.793999999999997</v>
      </c>
      <c r="AP861" s="412">
        <v>72.244</v>
      </c>
      <c r="AQ861" s="412">
        <v>90.894000000000005</v>
      </c>
      <c r="AR861" s="412">
        <v>223.92599999999999</v>
      </c>
      <c r="AS861" s="412">
        <v>388.04</v>
      </c>
      <c r="AT861" s="412">
        <v>72.244</v>
      </c>
      <c r="AU861" s="412">
        <v>563</v>
      </c>
      <c r="AV861" s="412">
        <v>563.46</v>
      </c>
      <c r="AW861" s="752">
        <v>643.38</v>
      </c>
      <c r="AX861" s="412"/>
      <c r="AY861" s="412"/>
      <c r="AZ861" s="412"/>
      <c r="BA861" s="412"/>
      <c r="BB861" s="412"/>
      <c r="BC861" s="412"/>
      <c r="BD861" s="412"/>
      <c r="BE861" s="412"/>
      <c r="BF861" s="412"/>
      <c r="BG861" s="412"/>
      <c r="BH861" s="476"/>
    </row>
    <row r="862" spans="1:60" s="415" customFormat="1" hidden="1" outlineLevel="1" x14ac:dyDescent="0.25">
      <c r="A862" s="416" t="s">
        <v>7</v>
      </c>
      <c r="B862" s="412"/>
      <c r="C862" s="413" t="str">
        <f ca="1">IFERROR(BDP(MO.Ticker.Bloomberg&amp;" Equity","INTERVAL_LOW","MARKET_DATA_OVERRIDE=PX_LAST","START_DATE_OVERRIDE",TEXT(INDEX(MO_SNA_FPStartDate,0,COLUMN()),"YYYYMMDD"),"END_DATE_OVERRIDE",TEXT(INDEX(MO_Common_QEndDate,0,COLUMN()),"YYYYMMDD")),"N/A")</f>
        <v>N/A</v>
      </c>
      <c r="D862" s="413" t="str">
        <f ca="1">IFERROR(BDP(MO.Ticker.Bloomberg&amp;" Equity","INTERVAL_LOW","MARKET_DATA_OVERRIDE=PX_LAST","START_DATE_OVERRIDE",TEXT(INDEX(MO_SNA_FPStartDate,0,COLUMN()),"YYYYMMDD"),"END_DATE_OVERRIDE",TEXT(INDEX(MO_Common_QEndDate,0,COLUMN()),"YYYYMMDD")),"N/A")</f>
        <v>N/A</v>
      </c>
      <c r="E862" s="412" t="str">
        <f ca="1">IFERROR(BDP(MO.Ticker.Bloomberg&amp;" Equity","INTERVAL_LOW","MARKET_DATA_OVERRIDE=PX_LAST","START_DATE_OVERRIDE",TEXT(INDEX(MO_SNA_FPStartDate,0,COLUMN()),"YYYYMMDD"),"END_DATE_OVERRIDE",TEXT(INDEX(MO_Common_QEndDate,0,COLUMN()),"YYYYMMDD")),"N/A")</f>
        <v>N/A</v>
      </c>
      <c r="F862" s="412" t="str">
        <f ca="1">IFERROR(BDP(MO.Ticker.Bloomberg&amp;" Equity","INTERVAL_LOW","MARKET_DATA_OVERRIDE=PX_LAST","START_DATE_OVERRIDE",TEXT(INDEX(MO_SNA_FPStartDate,0,COLUMN()),"YYYYMMDD"),"END_DATE_OVERRIDE",TEXT(INDEX(MO_Common_QEndDate,0,COLUMN()),"YYYYMMDD")),"N/A")</f>
        <v>N/A</v>
      </c>
      <c r="G862" s="412" t="str">
        <f ca="1">IFERROR(BDP(MO.Ticker.Bloomberg&amp;" Equity","INTERVAL_LOW","MARKET_DATA_OVERRIDE=PX_LAST","START_DATE_OVERRIDE",TEXT(INDEX(MO_SNA_FPStartDate,0,COLUMN()),"YYYYMMDD"),"END_DATE_OVERRIDE",TEXT(INDEX(MO_Common_QEndDate,0,COLUMN()),"YYYYMMDD")),"N/A")</f>
        <v>N/A</v>
      </c>
      <c r="H862" s="412" t="str">
        <f ca="1">IFERROR(BDP(MO.Ticker.Bloomberg&amp;" Equity","INTERVAL_LOW","MARKET_DATA_OVERRIDE=PX_LAST","START_DATE_OVERRIDE",TEXT(INDEX(MO_SNA_FPStartDate,0,COLUMN()),"YYYYMMDD"),"END_DATE_OVERRIDE",TEXT(INDEX(MO_Common_QEndDate,0,COLUMN()),"YYYYMMDD")),"N/A")</f>
        <v>N/A</v>
      </c>
      <c r="I862" s="412" t="str">
        <f ca="1">IFERROR(BDP(MO.Ticker.Bloomberg&amp;" Equity","INTERVAL_LOW","MARKET_DATA_OVERRIDE=PX_LAST","START_DATE_OVERRIDE",TEXT(INDEX(MO_SNA_FPStartDate,0,COLUMN()),"YYYYMMDD"),"END_DATE_OVERRIDE",TEXT(INDEX(MO_Common_QEndDate,0,COLUMN()),"YYYYMMDD")),"N/A")</f>
        <v>N/A</v>
      </c>
      <c r="J862" s="412" t="str">
        <f ca="1">IFERROR(BDP(MO.Ticker.Bloomberg&amp;" Equity","INTERVAL_LOW","MARKET_DATA_OVERRIDE=PX_LAST","START_DATE_OVERRIDE",TEXT(INDEX(MO_SNA_FPStartDate,0,COLUMN()),"YYYYMMDD"),"END_DATE_OVERRIDE",TEXT(INDEX(MO_Common_QEndDate,0,COLUMN()),"YYYYMMDD")),"N/A")</f>
        <v>N/A</v>
      </c>
      <c r="K862" s="412" t="str">
        <f ca="1">IFERROR(BDP(MO.Ticker.Bloomberg&amp;" Equity","INTERVAL_LOW","MARKET_DATA_OVERRIDE=PX_LAST","START_DATE_OVERRIDE",TEXT(INDEX(MO_SNA_FPStartDate,0,COLUMN()),"YYYYMMDD"),"END_DATE_OVERRIDE",TEXT(INDEX(MO_Common_QEndDate,0,COLUMN()),"YYYYMMDD")),"N/A")</f>
        <v>N/A</v>
      </c>
      <c r="L862" s="412" t="str">
        <f ca="1">IFERROR(BDP(MO.Ticker.Bloomberg&amp;" Equity","INTERVAL_LOW","MARKET_DATA_OVERRIDE=PX_LAST","START_DATE_OVERRIDE",TEXT(INDEX(MO_SNA_FPStartDate,0,COLUMN()),"YYYYMMDD"),"END_DATE_OVERRIDE",TEXT(INDEX(MO_Common_QEndDate,0,COLUMN()),"YYYYMMDD")),"N/A")</f>
        <v>N/A</v>
      </c>
      <c r="M862" s="412" t="str">
        <f ca="1">IFERROR(BDP(MO.Ticker.Bloomberg&amp;" Equity","INTERVAL_LOW","MARKET_DATA_OVERRIDE=PX_LAST","START_DATE_OVERRIDE",TEXT(INDEX(MO_SNA_FPStartDate,0,COLUMN()),"YYYYMMDD"),"END_DATE_OVERRIDE",TEXT(INDEX(MO_Common_QEndDate,0,COLUMN()),"YYYYMMDD")),"N/A")</f>
        <v>N/A</v>
      </c>
      <c r="N862" s="412" t="str">
        <f ca="1">IFERROR(BDP(MO.Ticker.Bloomberg&amp;" Equity","INTERVAL_LOW","MARKET_DATA_OVERRIDE=PX_LAST","START_DATE_OVERRIDE",TEXT(INDEX(MO_SNA_FPStartDate,0,COLUMN()),"YYYYMMDD"),"END_DATE_OVERRIDE",TEXT(INDEX(MO_Common_QEndDate,0,COLUMN()),"YYYYMMDD")),"N/A")</f>
        <v>N/A</v>
      </c>
      <c r="O862" s="412" t="str">
        <f ca="1">IFERROR(BDP(MO.Ticker.Bloomberg&amp;" Equity","INTERVAL_LOW","MARKET_DATA_OVERRIDE=PX_LAST","START_DATE_OVERRIDE",TEXT(INDEX(MO_SNA_FPStartDate,0,COLUMN()),"YYYYMMDD"),"END_DATE_OVERRIDE",TEXT(INDEX(MO_Common_QEndDate,0,COLUMN()),"YYYYMMDD")),"N/A")</f>
        <v>N/A</v>
      </c>
      <c r="P862" s="412" t="str">
        <f ca="1">IFERROR(BDP(MO.Ticker.Bloomberg&amp;" Equity","INTERVAL_LOW","MARKET_DATA_OVERRIDE=PX_LAST","START_DATE_OVERRIDE",TEXT(INDEX(MO_SNA_FPStartDate,0,COLUMN()),"YYYYMMDD"),"END_DATE_OVERRIDE",TEXT(INDEX(MO_Common_QEndDate,0,COLUMN()),"YYYYMMDD")),"N/A")</f>
        <v>N/A</v>
      </c>
      <c r="Q862" s="412" t="str">
        <f ca="1">IFERROR(BDP(MO.Ticker.Bloomberg&amp;" Equity","INTERVAL_LOW","MARKET_DATA_OVERRIDE=PX_LAST","START_DATE_OVERRIDE",TEXT(INDEX(MO_SNA_FPStartDate,0,COLUMN()),"YYYYMMDD"),"END_DATE_OVERRIDE",TEXT(INDEX(MO_Common_QEndDate,0,COLUMN()),"YYYYMMDD")),"N/A")</f>
        <v>N/A</v>
      </c>
      <c r="R862" s="412" t="str">
        <f ca="1">IFERROR(BDP(MO.Ticker.Bloomberg&amp;" Equity","INTERVAL_LOW","MARKET_DATA_OVERRIDE=PX_LAST","START_DATE_OVERRIDE",TEXT(INDEX(MO_SNA_FPStartDate,0,COLUMN()),"YYYYMMDD"),"END_DATE_OVERRIDE",TEXT(INDEX(MO_Common_QEndDate,0,COLUMN()),"YYYYMMDD")),"N/A")</f>
        <v>N/A</v>
      </c>
      <c r="S862" s="412" t="str">
        <f ca="1">IFERROR(BDP(MO.Ticker.Bloomberg&amp;" Equity","INTERVAL_LOW","MARKET_DATA_OVERRIDE=PX_LAST","START_DATE_OVERRIDE",TEXT(INDEX(MO_SNA_FPStartDate,0,COLUMN()),"YYYYMMDD"),"END_DATE_OVERRIDE",TEXT(INDEX(MO_Common_QEndDate,0,COLUMN()),"YYYYMMDD")),"N/A")</f>
        <v>N/A</v>
      </c>
      <c r="T862" s="412" t="str">
        <f ca="1">IFERROR(BDP(MO.Ticker.Bloomberg&amp;" Equity","INTERVAL_LOW","MARKET_DATA_OVERRIDE=PX_LAST","START_DATE_OVERRIDE",TEXT(INDEX(MO_SNA_FPStartDate,0,COLUMN()),"YYYYMMDD"),"END_DATE_OVERRIDE",TEXT(INDEX(MO_Common_QEndDate,0,COLUMN()),"YYYYMMDD")),"N/A")</f>
        <v>N/A</v>
      </c>
      <c r="U862" s="412" t="str">
        <f ca="1">IFERROR(BDP(MO.Ticker.Bloomberg&amp;" Equity","INTERVAL_LOW","MARKET_DATA_OVERRIDE=PX_LAST","START_DATE_OVERRIDE",TEXT(INDEX(MO_SNA_FPStartDate,0,COLUMN()),"YYYYMMDD"),"END_DATE_OVERRIDE",TEXT(INDEX(MO_Common_QEndDate,0,COLUMN()),"YYYYMMDD")),"N/A")</f>
        <v>N/A</v>
      </c>
      <c r="V862" s="412" t="str">
        <f ca="1">IFERROR(BDP(MO.Ticker.Bloomberg&amp;" Equity","INTERVAL_LOW","MARKET_DATA_OVERRIDE=PX_LAST","START_DATE_OVERRIDE",TEXT(INDEX(MO_SNA_FPStartDate,0,COLUMN()),"YYYYMMDD"),"END_DATE_OVERRIDE",TEXT(INDEX(MO_Common_QEndDate,0,COLUMN()),"YYYYMMDD")),"N/A")</f>
        <v>N/A</v>
      </c>
      <c r="W862" s="412" t="str">
        <f ca="1">IFERROR(BDP(MO.Ticker.Bloomberg&amp;" Equity","INTERVAL_LOW","MARKET_DATA_OVERRIDE=PX_LAST","START_DATE_OVERRIDE",TEXT(INDEX(MO_SNA_FPStartDate,0,COLUMN()),"YYYYMMDD"),"END_DATE_OVERRIDE",TEXT(INDEX(MO_Common_QEndDate,0,COLUMN()),"YYYYMMDD")),"N/A")</f>
        <v>N/A</v>
      </c>
      <c r="X862" s="412" t="str">
        <f ca="1">IFERROR(BDP(MO.Ticker.Bloomberg&amp;" Equity","INTERVAL_LOW","MARKET_DATA_OVERRIDE=PX_LAST","START_DATE_OVERRIDE",TEXT(INDEX(MO_SNA_FPStartDate,0,COLUMN()),"YYYYMMDD"),"END_DATE_OVERRIDE",TEXT(INDEX(MO_Common_QEndDate,0,COLUMN()),"YYYYMMDD")),"N/A")</f>
        <v>N/A</v>
      </c>
      <c r="Y862" s="412" t="str">
        <f ca="1">IFERROR(BDP(MO.Ticker.Bloomberg&amp;" Equity","INTERVAL_LOW","MARKET_DATA_OVERRIDE=PX_LAST","START_DATE_OVERRIDE",TEXT(INDEX(MO_SNA_FPStartDate,0,COLUMN()),"YYYYMMDD"),"END_DATE_OVERRIDE",TEXT(INDEX(MO_Common_QEndDate,0,COLUMN()),"YYYYMMDD")),"N/A")</f>
        <v>N/A</v>
      </c>
      <c r="Z862" s="412" t="str">
        <f ca="1">IFERROR(BDP(MO.Ticker.Bloomberg&amp;" Equity","INTERVAL_LOW","MARKET_DATA_OVERRIDE=PX_LAST","START_DATE_OVERRIDE",TEXT(INDEX(MO_SNA_FPStartDate,0,COLUMN()),"YYYYMMDD"),"END_DATE_OVERRIDE",TEXT(INDEX(MO_Common_QEndDate,0,COLUMN()),"YYYYMMDD")),"N/A")</f>
        <v>N/A</v>
      </c>
      <c r="AA862" s="412" t="str">
        <f ca="1">IFERROR(BDP(MO.Ticker.Bloomberg&amp;" Equity","INTERVAL_LOW","MARKET_DATA_OVERRIDE=PX_LAST","START_DATE_OVERRIDE",TEXT(INDEX(MO_SNA_FPStartDate,0,COLUMN()),"YYYYMMDD"),"END_DATE_OVERRIDE",TEXT(INDEX(MO_Common_QEndDate,0,COLUMN()),"YYYYMMDD")),"N/A")</f>
        <v>N/A</v>
      </c>
      <c r="AB862" s="412" t="str">
        <f ca="1">IFERROR(BDP(MO.Ticker.Bloomberg&amp;" Equity","INTERVAL_LOW","MARKET_DATA_OVERRIDE=PX_LAST","START_DATE_OVERRIDE",TEXT(INDEX(MO_SNA_FPStartDate,0,COLUMN()),"YYYYMMDD"),"END_DATE_OVERRIDE",TEXT(INDEX(MO_Common_QEndDate,0,COLUMN()),"YYYYMMDD")),"N/A")</f>
        <v>N/A</v>
      </c>
      <c r="AC862" s="412" t="str">
        <f ca="1">IFERROR(BDP(MO.Ticker.Bloomberg&amp;" Equity","INTERVAL_LOW","MARKET_DATA_OVERRIDE=PX_LAST","START_DATE_OVERRIDE",TEXT(INDEX(MO_SNA_FPStartDate,0,COLUMN()),"YYYYMMDD"),"END_DATE_OVERRIDE",TEXT(INDEX(MO_Common_QEndDate,0,COLUMN()),"YYYYMMDD")),"N/A")</f>
        <v>N/A</v>
      </c>
      <c r="AD862" s="412" t="str">
        <f ca="1">IFERROR(BDP(MO.Ticker.Bloomberg&amp;" Equity","INTERVAL_LOW","MARKET_DATA_OVERRIDE=PX_LAST","START_DATE_OVERRIDE",TEXT(INDEX(MO_SNA_FPStartDate,0,COLUMN()),"YYYYMMDD"),"END_DATE_OVERRIDE",TEXT(INDEX(MO_Common_QEndDate,0,COLUMN()),"YYYYMMDD")),"N/A")</f>
        <v>N/A</v>
      </c>
      <c r="AE862" s="412" t="str">
        <f ca="1">IFERROR(BDP(MO.Ticker.Bloomberg&amp;" Equity","INTERVAL_LOW","MARKET_DATA_OVERRIDE=PX_LAST","START_DATE_OVERRIDE",TEXT(INDEX(MO_SNA_FPStartDate,0,COLUMN()),"YYYYMMDD"),"END_DATE_OVERRIDE",TEXT(INDEX(MO_Common_QEndDate,0,COLUMN()),"YYYYMMDD")),"N/A")</f>
        <v>N/A</v>
      </c>
      <c r="AF862" s="412" t="str">
        <f ca="1">IFERROR(BDP(MO.Ticker.Bloomberg&amp;" Equity","INTERVAL_LOW","MARKET_DATA_OVERRIDE=PX_LAST","START_DATE_OVERRIDE",TEXT(INDEX(MO_SNA_FPStartDate,0,COLUMN()),"YYYYMMDD"),"END_DATE_OVERRIDE",TEXT(INDEX(MO_Common_QEndDate,0,COLUMN()),"YYYYMMDD")),"N/A")</f>
        <v>N/A</v>
      </c>
      <c r="AG862" s="412" t="str">
        <f ca="1">IFERROR(BDP(MO.Ticker.Bloomberg&amp;" Equity","INTERVAL_LOW","MARKET_DATA_OVERRIDE=PX_LAST","START_DATE_OVERRIDE",TEXT(INDEX(MO_SNA_FPStartDate,0,COLUMN()),"YYYYMMDD"),"END_DATE_OVERRIDE",TEXT(INDEX(MO_Common_QEndDate,0,COLUMN()),"YYYYMMDD")),"N/A")</f>
        <v>N/A</v>
      </c>
      <c r="AH862" s="412" t="str">
        <f ca="1">IFERROR(BDP(MO.Ticker.Bloomberg&amp;" Equity","INTERVAL_LOW","MARKET_DATA_OVERRIDE=PX_LAST","START_DATE_OVERRIDE",TEXT(INDEX(MO_SNA_FPStartDate,0,COLUMN()),"YYYYMMDD"),"END_DATE_OVERRIDE",TEXT(INDEX(MO_Common_QEndDate,0,COLUMN()),"YYYYMMDD")),"N/A")</f>
        <v>N/A</v>
      </c>
      <c r="AI862" s="412" t="str">
        <f ca="1">IFERROR(BDP(MO.Ticker.Bloomberg&amp;" Equity","INTERVAL_LOW","MARKET_DATA_OVERRIDE=PX_LAST","START_DATE_OVERRIDE",TEXT(INDEX(MO_SNA_FPStartDate,0,COLUMN()),"YYYYMMDD"),"END_DATE_OVERRIDE",TEXT(INDEX(MO_Common_QEndDate,0,COLUMN()),"YYYYMMDD")),"N/A")</f>
        <v>N/A</v>
      </c>
      <c r="AJ862" s="412" t="str">
        <f ca="1">IFERROR(BDP(MO.Ticker.Bloomberg&amp;" Equity","INTERVAL_LOW","MARKET_DATA_OVERRIDE=PX_LAST","START_DATE_OVERRIDE",TEXT(INDEX(MO_SNA_FPStartDate,0,COLUMN()),"YYYYMMDD"),"END_DATE_OVERRIDE",TEXT(INDEX(MO_Common_QEndDate,0,COLUMN()),"YYYYMMDD")),"N/A")</f>
        <v>N/A</v>
      </c>
      <c r="AK862" s="412" t="str">
        <f ca="1">IFERROR(BDP(MO.Ticker.Bloomberg&amp;" Equity","INTERVAL_LOW","MARKET_DATA_OVERRIDE=PX_LAST","START_DATE_OVERRIDE",TEXT(INDEX(MO_SNA_FPStartDate,0,COLUMN()),"YYYYMMDD"),"END_DATE_OVERRIDE",TEXT(INDEX(MO_Common_QEndDate,0,COLUMN()),"YYYYMMDD")),"N/A")</f>
        <v>N/A</v>
      </c>
      <c r="AL862" s="412" t="str">
        <f ca="1">IFERROR(BDP(MO.Ticker.Bloomberg&amp;" Equity","INTERVAL_LOW","MARKET_DATA_OVERRIDE=PX_LAST","START_DATE_OVERRIDE",TEXT(INDEX(MO_SNA_FPStartDate,0,COLUMN()),"YYYYMMDD"),"END_DATE_OVERRIDE",TEXT(INDEX(MO_Common_QEndDate,0,COLUMN()),"YYYYMMDD")),"N/A")</f>
        <v>N/A</v>
      </c>
      <c r="AM862" s="412" t="str">
        <f ca="1">IFERROR(BDP(MO.Ticker.Bloomberg&amp;" Equity","INTERVAL_LOW","MARKET_DATA_OVERRIDE=PX_LAST","START_DATE_OVERRIDE",TEXT(INDEX(MO_SNA_FPStartDate,0,COLUMN()),"YYYYMMDD"),"END_DATE_OVERRIDE",TEXT(INDEX(MO_Common_QEndDate,0,COLUMN()),"YYYYMMDD")),"N/A")</f>
        <v>N/A</v>
      </c>
      <c r="AN862" s="412" t="str">
        <f ca="1">IFERROR(BDP(MO.Ticker.Bloomberg&amp;" Equity","INTERVAL_LOW","MARKET_DATA_OVERRIDE=PX_LAST","START_DATE_OVERRIDE",TEXT(INDEX(MO_SNA_FPStartDate,0,COLUMN()),"YYYYMMDD"),"END_DATE_OVERRIDE",TEXT(INDEX(MO_Common_QEndDate,0,COLUMN()),"YYYYMMDD")),"N/A")</f>
        <v>N/A</v>
      </c>
      <c r="AO862" s="412" t="str">
        <f ca="1">IFERROR(BDP(MO.Ticker.Bloomberg&amp;" Equity","INTERVAL_LOW","MARKET_DATA_OVERRIDE=PX_LAST","START_DATE_OVERRIDE",TEXT(INDEX(MO_SNA_FPStartDate,0,COLUMN()),"YYYYMMDD"),"END_DATE_OVERRIDE",TEXT(INDEX(MO_Common_QEndDate,0,COLUMN()),"YYYYMMDD")),"N/A")</f>
        <v>N/A</v>
      </c>
      <c r="AP862" s="412" t="str">
        <f ca="1">IFERROR(BDP(MO.Ticker.Bloomberg&amp;" Equity","INTERVAL_LOW","MARKET_DATA_OVERRIDE=PX_LAST","START_DATE_OVERRIDE",TEXT(INDEX(MO_SNA_FPStartDate,0,COLUMN()),"YYYYMMDD"),"END_DATE_OVERRIDE",TEXT(INDEX(MO_Common_QEndDate,0,COLUMN()),"YYYYMMDD")),"N/A")</f>
        <v>N/A</v>
      </c>
      <c r="AQ862" s="412" t="str">
        <f ca="1">IFERROR(BDP(MO.Ticker.Bloomberg&amp;" Equity","INTERVAL_LOW","MARKET_DATA_OVERRIDE=PX_LAST","START_DATE_OVERRIDE",TEXT(INDEX(MO_SNA_FPStartDate,0,COLUMN()),"YYYYMMDD"),"END_DATE_OVERRIDE",TEXT(INDEX(MO_Common_QEndDate,0,COLUMN()),"YYYYMMDD")),"N/A")</f>
        <v>N/A</v>
      </c>
      <c r="AR862" s="412" t="str">
        <f ca="1">IFERROR(BDP(MO.Ticker.Bloomberg&amp;" Equity","INTERVAL_LOW","MARKET_DATA_OVERRIDE=PX_LAST","START_DATE_OVERRIDE",TEXT(INDEX(MO_SNA_FPStartDate,0,COLUMN()),"YYYYMMDD"),"END_DATE_OVERRIDE",TEXT(INDEX(MO_Common_QEndDate,0,COLUMN()),"YYYYMMDD")),"N/A")</f>
        <v>N/A</v>
      </c>
      <c r="AS862" s="412" t="str">
        <f ca="1">IFERROR(BDP(MO.Ticker.Bloomberg&amp;" Equity","INTERVAL_LOW","MARKET_DATA_OVERRIDE=PX_LAST","START_DATE_OVERRIDE",TEXT(INDEX(MO_SNA_FPStartDate,0,COLUMN()),"YYYYMMDD"),"END_DATE_OVERRIDE",TEXT(INDEX(MO_Common_QEndDate,0,COLUMN()),"YYYYMMDD")),"N/A")</f>
        <v>N/A</v>
      </c>
      <c r="AT862" s="412" t="str">
        <f ca="1">IFERROR(BDP(MO.Ticker.Bloomberg&amp;" Equity","INTERVAL_LOW","MARKET_DATA_OVERRIDE=PX_LAST","START_DATE_OVERRIDE",TEXT(INDEX(MO_SNA_FPStartDate,0,COLUMN()),"YYYYMMDD"),"END_DATE_OVERRIDE",TEXT(INDEX(MO_Common_QEndDate,0,COLUMN()),"YYYYMMDD")),"N/A")</f>
        <v>N/A</v>
      </c>
      <c r="AU862" s="412" t="str">
        <f ca="1">IFERROR(BDP(MO.Ticker.Bloomberg&amp;" Equity","INTERVAL_LOW","MARKET_DATA_OVERRIDE=PX_LAST","START_DATE_OVERRIDE",TEXT(INDEX(MO_SNA_FPStartDate,0,COLUMN()),"YYYYMMDD"),"END_DATE_OVERRIDE",TEXT(INDEX(MO_Common_QEndDate,0,COLUMN()),"YYYYMMDD")),"N/A")</f>
        <v>N/A</v>
      </c>
      <c r="AV862" s="412" t="str">
        <f ca="1">IFERROR(BDP(MO.Ticker.Bloomberg&amp;" Equity","INTERVAL_LOW","MARKET_DATA_OVERRIDE=PX_LAST","START_DATE_OVERRIDE",TEXT(INDEX(MO_SNA_FPStartDate,0,COLUMN()),"YYYYMMDD"),"END_DATE_OVERRIDE",TEXT(INDEX(MO_Common_QEndDate,0,COLUMN()),"YYYYMMDD")),"N/A")</f>
        <v>N/A</v>
      </c>
      <c r="AW862" s="752" t="str">
        <f ca="1">IFERROR(BDP(MO.Ticker.Bloomberg&amp;" Equity","INTERVAL_LOW","MARKET_DATA_OVERRIDE=PX_LAST","START_DATE_OVERRIDE",TEXT(INDEX(MO_SNA_FPStartDate,0,COLUMN()),"YYYYMMDD"),"END_DATE_OVERRIDE",TEXT(INDEX(MO_Common_QEndDate,0,COLUMN()),"YYYYMMDD")),"N/A")</f>
        <v>N/A</v>
      </c>
      <c r="AX862" s="412" t="str">
        <f ca="1">IFERROR(BDP(MO.Ticker.Bloomberg&amp;" Equity","INTERVAL_LOW","MARKET_DATA_OVERRIDE=PX_LAST","START_DATE_OVERRIDE",TEXT(INDEX(MO_SNA_FPStartDate,0,COLUMN()),"YYYYMMDD"),"END_DATE_OVERRIDE",TEXT(INDEX(MO_Common_QEndDate,0,COLUMN()),"YYYYMMDD")),"N/A")</f>
        <v>N/A</v>
      </c>
      <c r="AY862" s="412" t="str">
        <f ca="1">IFERROR(BDP(MO.Ticker.Bloomberg&amp;" Equity","INTERVAL_LOW","MARKET_DATA_OVERRIDE=PX_LAST","START_DATE_OVERRIDE",TEXT(INDEX(MO_SNA_FPStartDate,0,COLUMN()),"YYYYMMDD"),"END_DATE_OVERRIDE",TEXT(INDEX(MO_Common_QEndDate,0,COLUMN()),"YYYYMMDD")),"N/A")</f>
        <v>N/A</v>
      </c>
      <c r="AZ862" s="412" t="str">
        <f ca="1">IFERROR(BDP(MO.Ticker.Bloomberg&amp;" Equity","INTERVAL_LOW","MARKET_DATA_OVERRIDE=PX_LAST","START_DATE_OVERRIDE",TEXT(INDEX(MO_SNA_FPStartDate,0,COLUMN()),"YYYYMMDD"),"END_DATE_OVERRIDE",TEXT(INDEX(MO_Common_QEndDate,0,COLUMN()),"YYYYMMDD")),"N/A")</f>
        <v>N/A</v>
      </c>
      <c r="BA862" s="412" t="str">
        <f ca="1">IFERROR(BDP(MO.Ticker.Bloomberg&amp;" Equity","INTERVAL_LOW","MARKET_DATA_OVERRIDE=PX_LAST","START_DATE_OVERRIDE",TEXT(INDEX(MO_SNA_FPStartDate,0,COLUMN()),"YYYYMMDD"),"END_DATE_OVERRIDE",TEXT(INDEX(MO_Common_QEndDate,0,COLUMN()),"YYYYMMDD")),"N/A")</f>
        <v>N/A</v>
      </c>
      <c r="BB862" s="412" t="str">
        <f ca="1">IFERROR(BDP(MO.Ticker.Bloomberg&amp;" Equity","INTERVAL_LOW","MARKET_DATA_OVERRIDE=PX_LAST","START_DATE_OVERRIDE",TEXT(INDEX(MO_SNA_FPStartDate,0,COLUMN()),"YYYYMMDD"),"END_DATE_OVERRIDE",TEXT(INDEX(MO_Common_QEndDate,0,COLUMN()),"YYYYMMDD")),"N/A")</f>
        <v>N/A</v>
      </c>
      <c r="BC862" s="412" t="str">
        <f ca="1">IFERROR(BDP(MO.Ticker.Bloomberg&amp;" Equity","INTERVAL_LOW","MARKET_DATA_OVERRIDE=PX_LAST","START_DATE_OVERRIDE",TEXT(INDEX(MO_SNA_FPStartDate,0,COLUMN()),"YYYYMMDD"),"END_DATE_OVERRIDE",TEXT(INDEX(MO_Common_QEndDate,0,COLUMN()),"YYYYMMDD")),"N/A")</f>
        <v>N/A</v>
      </c>
      <c r="BD862" s="412" t="str">
        <f ca="1">IFERROR(BDP(MO.Ticker.Bloomberg&amp;" Equity","INTERVAL_LOW","MARKET_DATA_OVERRIDE=PX_LAST","START_DATE_OVERRIDE",TEXT(INDEX(MO_SNA_FPStartDate,0,COLUMN()),"YYYYMMDD"),"END_DATE_OVERRIDE",TEXT(INDEX(MO_Common_QEndDate,0,COLUMN()),"YYYYMMDD")),"N/A")</f>
        <v>N/A</v>
      </c>
      <c r="BE862" s="412" t="str">
        <f ca="1">IFERROR(BDP(MO.Ticker.Bloomberg&amp;" Equity","INTERVAL_LOW","MARKET_DATA_OVERRIDE=PX_LAST","START_DATE_OVERRIDE",TEXT(INDEX(MO_SNA_FPStartDate,0,COLUMN()),"YYYYMMDD"),"END_DATE_OVERRIDE",TEXT(INDEX(MO_Common_QEndDate,0,COLUMN()),"YYYYMMDD")),"N/A")</f>
        <v>N/A</v>
      </c>
      <c r="BF862" s="412" t="str">
        <f ca="1">IFERROR(BDP(MO.Ticker.Bloomberg&amp;" Equity","INTERVAL_LOW","MARKET_DATA_OVERRIDE=PX_LAST","START_DATE_OVERRIDE",TEXT(INDEX(MO_SNA_FPStartDate,0,COLUMN()),"YYYYMMDD"),"END_DATE_OVERRIDE",TEXT(INDEX(MO_Common_QEndDate,0,COLUMN()),"YYYYMMDD")),"N/A")</f>
        <v>N/A</v>
      </c>
      <c r="BG862" s="412" t="str">
        <f ca="1">IFERROR(BDP(MO.Ticker.Bloomberg&amp;" Equity","INTERVAL_LOW","MARKET_DATA_OVERRIDE=PX_LAST","START_DATE_OVERRIDE",TEXT(INDEX(MO_SNA_FPStartDate,0,COLUMN()),"YYYYMMDD"),"END_DATE_OVERRIDE",TEXT(INDEX(MO_Common_QEndDate,0,COLUMN()),"YYYYMMDD")),"N/A")</f>
        <v>N/A</v>
      </c>
      <c r="BH862" s="476"/>
    </row>
    <row r="863" spans="1:60" s="415" customFormat="1" hidden="1" outlineLevel="1" x14ac:dyDescent="0.25">
      <c r="A863" s="416" t="s">
        <v>333</v>
      </c>
      <c r="B863" s="412"/>
      <c r="C863" s="413" t="str">
        <f ca="1">IFERROR(CIQLO(MO.Ticker.CapIQ,"IQ_LASTSALEPRICE",INDEX(MO_SNA_FPStartDate,0,COLUMN()),INDEX(MO_Common_QEndDate,0,COLUMN())),"N/A")</f>
        <v>N/A</v>
      </c>
      <c r="D863" s="413" t="str">
        <f ca="1">IFERROR(CIQLO(MO.Ticker.CapIQ,"IQ_LASTSALEPRICE",INDEX(MO_SNA_FPStartDate,0,COLUMN()),INDEX(MO_Common_QEndDate,0,COLUMN())),"N/A")</f>
        <v>N/A</v>
      </c>
      <c r="E863" s="412" t="str">
        <f ca="1">IFERROR(CIQLO(MO.Ticker.CapIQ,"IQ_LASTSALEPRICE",INDEX(MO_SNA_FPStartDate,0,COLUMN()),INDEX(MO_Common_QEndDate,0,COLUMN())),"N/A")</f>
        <v>N/A</v>
      </c>
      <c r="F863" s="412" t="str">
        <f ca="1">IFERROR(CIQLO(MO.Ticker.CapIQ,"IQ_LASTSALEPRICE",INDEX(MO_SNA_FPStartDate,0,COLUMN()),INDEX(MO_Common_QEndDate,0,COLUMN())),"N/A")</f>
        <v>N/A</v>
      </c>
      <c r="G863" s="412" t="str">
        <f ca="1">IFERROR(CIQLO(MO.Ticker.CapIQ,"IQ_LASTSALEPRICE",INDEX(MO_SNA_FPStartDate,0,COLUMN()),INDEX(MO_Common_QEndDate,0,COLUMN())),"N/A")</f>
        <v>N/A</v>
      </c>
      <c r="H863" s="412" t="str">
        <f ca="1">IFERROR(CIQLO(MO.Ticker.CapIQ,"IQ_LASTSALEPRICE",INDEX(MO_SNA_FPStartDate,0,COLUMN()),INDEX(MO_Common_QEndDate,0,COLUMN())),"N/A")</f>
        <v>N/A</v>
      </c>
      <c r="I863" s="412" t="str">
        <f ca="1">IFERROR(CIQLO(MO.Ticker.CapIQ,"IQ_LASTSALEPRICE",INDEX(MO_SNA_FPStartDate,0,COLUMN()),INDEX(MO_Common_QEndDate,0,COLUMN())),"N/A")</f>
        <v>N/A</v>
      </c>
      <c r="J863" s="412" t="str">
        <f ca="1">IFERROR(CIQLO(MO.Ticker.CapIQ,"IQ_LASTSALEPRICE",INDEX(MO_SNA_FPStartDate,0,COLUMN()),INDEX(MO_Common_QEndDate,0,COLUMN())),"N/A")</f>
        <v>N/A</v>
      </c>
      <c r="K863" s="412" t="str">
        <f ca="1">IFERROR(CIQLO(MO.Ticker.CapIQ,"IQ_LASTSALEPRICE",INDEX(MO_SNA_FPStartDate,0,COLUMN()),INDEX(MO_Common_QEndDate,0,COLUMN())),"N/A")</f>
        <v>N/A</v>
      </c>
      <c r="L863" s="412" t="str">
        <f ca="1">IFERROR(CIQLO(MO.Ticker.CapIQ,"IQ_LASTSALEPRICE",INDEX(MO_SNA_FPStartDate,0,COLUMN()),INDEX(MO_Common_QEndDate,0,COLUMN())),"N/A")</f>
        <v>N/A</v>
      </c>
      <c r="M863" s="412" t="str">
        <f ca="1">IFERROR(CIQLO(MO.Ticker.CapIQ,"IQ_LASTSALEPRICE",INDEX(MO_SNA_FPStartDate,0,COLUMN()),INDEX(MO_Common_QEndDate,0,COLUMN())),"N/A")</f>
        <v>N/A</v>
      </c>
      <c r="N863" s="412" t="str">
        <f ca="1">IFERROR(CIQLO(MO.Ticker.CapIQ,"IQ_LASTSALEPRICE",INDEX(MO_SNA_FPStartDate,0,COLUMN()),INDEX(MO_Common_QEndDate,0,COLUMN())),"N/A")</f>
        <v>N/A</v>
      </c>
      <c r="O863" s="412" t="str">
        <f ca="1">IFERROR(CIQLO(MO.Ticker.CapIQ,"IQ_LASTSALEPRICE",INDEX(MO_SNA_FPStartDate,0,COLUMN()),INDEX(MO_Common_QEndDate,0,COLUMN())),"N/A")</f>
        <v>N/A</v>
      </c>
      <c r="P863" s="412" t="str">
        <f ca="1">IFERROR(CIQLO(MO.Ticker.CapIQ,"IQ_LASTSALEPRICE",INDEX(MO_SNA_FPStartDate,0,COLUMN()),INDEX(MO_Common_QEndDate,0,COLUMN())),"N/A")</f>
        <v>N/A</v>
      </c>
      <c r="Q863" s="412" t="str">
        <f ca="1">IFERROR(CIQLO(MO.Ticker.CapIQ,"IQ_LASTSALEPRICE",INDEX(MO_SNA_FPStartDate,0,COLUMN()),INDEX(MO_Common_QEndDate,0,COLUMN())),"N/A")</f>
        <v>N/A</v>
      </c>
      <c r="R863" s="412" t="str">
        <f ca="1">IFERROR(CIQLO(MO.Ticker.CapIQ,"IQ_LASTSALEPRICE",INDEX(MO_SNA_FPStartDate,0,COLUMN()),INDEX(MO_Common_QEndDate,0,COLUMN())),"N/A")</f>
        <v>N/A</v>
      </c>
      <c r="S863" s="412" t="str">
        <f ca="1">IFERROR(CIQLO(MO.Ticker.CapIQ,"IQ_LASTSALEPRICE",INDEX(MO_SNA_FPStartDate,0,COLUMN()),INDEX(MO_Common_QEndDate,0,COLUMN())),"N/A")</f>
        <v>N/A</v>
      </c>
      <c r="T863" s="412" t="str">
        <f ca="1">IFERROR(CIQLO(MO.Ticker.CapIQ,"IQ_LASTSALEPRICE",INDEX(MO_SNA_FPStartDate,0,COLUMN()),INDEX(MO_Common_QEndDate,0,COLUMN())),"N/A")</f>
        <v>N/A</v>
      </c>
      <c r="U863" s="412" t="str">
        <f ca="1">IFERROR(CIQLO(MO.Ticker.CapIQ,"IQ_LASTSALEPRICE",INDEX(MO_SNA_FPStartDate,0,COLUMN()),INDEX(MO_Common_QEndDate,0,COLUMN())),"N/A")</f>
        <v>N/A</v>
      </c>
      <c r="V863" s="412" t="str">
        <f ca="1">IFERROR(CIQLO(MO.Ticker.CapIQ,"IQ_LASTSALEPRICE",INDEX(MO_SNA_FPStartDate,0,COLUMN()),INDEX(MO_Common_QEndDate,0,COLUMN())),"N/A")</f>
        <v>N/A</v>
      </c>
      <c r="W863" s="412" t="str">
        <f ca="1">IFERROR(CIQLO(MO.Ticker.CapIQ,"IQ_LASTSALEPRICE",INDEX(MO_SNA_FPStartDate,0,COLUMN()),INDEX(MO_Common_QEndDate,0,COLUMN())),"N/A")</f>
        <v>N/A</v>
      </c>
      <c r="X863" s="412" t="str">
        <f ca="1">IFERROR(CIQLO(MO.Ticker.CapIQ,"IQ_LASTSALEPRICE",INDEX(MO_SNA_FPStartDate,0,COLUMN()),INDEX(MO_Common_QEndDate,0,COLUMN())),"N/A")</f>
        <v>N/A</v>
      </c>
      <c r="Y863" s="412" t="str">
        <f ca="1">IFERROR(CIQLO(MO.Ticker.CapIQ,"IQ_LASTSALEPRICE",INDEX(MO_SNA_FPStartDate,0,COLUMN()),INDEX(MO_Common_QEndDate,0,COLUMN())),"N/A")</f>
        <v>N/A</v>
      </c>
      <c r="Z863" s="412" t="str">
        <f ca="1">IFERROR(CIQLO(MO.Ticker.CapIQ,"IQ_LASTSALEPRICE",INDEX(MO_SNA_FPStartDate,0,COLUMN()),INDEX(MO_Common_QEndDate,0,COLUMN())),"N/A")</f>
        <v>N/A</v>
      </c>
      <c r="AA863" s="412" t="str">
        <f ca="1">IFERROR(CIQLO(MO.Ticker.CapIQ,"IQ_LASTSALEPRICE",INDEX(MO_SNA_FPStartDate,0,COLUMN()),INDEX(MO_Common_QEndDate,0,COLUMN())),"N/A")</f>
        <v>N/A</v>
      </c>
      <c r="AB863" s="412" t="str">
        <f ca="1">IFERROR(CIQLO(MO.Ticker.CapIQ,"IQ_LASTSALEPRICE",INDEX(MO_SNA_FPStartDate,0,COLUMN()),INDEX(MO_Common_QEndDate,0,COLUMN())),"N/A")</f>
        <v>N/A</v>
      </c>
      <c r="AC863" s="412" t="str">
        <f ca="1">IFERROR(CIQLO(MO.Ticker.CapIQ,"IQ_LASTSALEPRICE",INDEX(MO_SNA_FPStartDate,0,COLUMN()),INDEX(MO_Common_QEndDate,0,COLUMN())),"N/A")</f>
        <v>N/A</v>
      </c>
      <c r="AD863" s="412" t="str">
        <f ca="1">IFERROR(CIQLO(MO.Ticker.CapIQ,"IQ_LASTSALEPRICE",INDEX(MO_SNA_FPStartDate,0,COLUMN()),INDEX(MO_Common_QEndDate,0,COLUMN())),"N/A")</f>
        <v>N/A</v>
      </c>
      <c r="AE863" s="412" t="str">
        <f ca="1">IFERROR(CIQLO(MO.Ticker.CapIQ,"IQ_LASTSALEPRICE",INDEX(MO_SNA_FPStartDate,0,COLUMN()),INDEX(MO_Common_QEndDate,0,COLUMN())),"N/A")</f>
        <v>N/A</v>
      </c>
      <c r="AF863" s="412" t="str">
        <f ca="1">IFERROR(CIQLO(MO.Ticker.CapIQ,"IQ_LASTSALEPRICE",INDEX(MO_SNA_FPStartDate,0,COLUMN()),INDEX(MO_Common_QEndDate,0,COLUMN())),"N/A")</f>
        <v>N/A</v>
      </c>
      <c r="AG863" s="412" t="str">
        <f ca="1">IFERROR(CIQLO(MO.Ticker.CapIQ,"IQ_LASTSALEPRICE",INDEX(MO_SNA_FPStartDate,0,COLUMN()),INDEX(MO_Common_QEndDate,0,COLUMN())),"N/A")</f>
        <v>N/A</v>
      </c>
      <c r="AH863" s="412" t="str">
        <f ca="1">IFERROR(CIQLO(MO.Ticker.CapIQ,"IQ_LASTSALEPRICE",INDEX(MO_SNA_FPStartDate,0,COLUMN()),INDEX(MO_Common_QEndDate,0,COLUMN())),"N/A")</f>
        <v>N/A</v>
      </c>
      <c r="AI863" s="412" t="str">
        <f ca="1">IFERROR(CIQLO(MO.Ticker.CapIQ,"IQ_LASTSALEPRICE",INDEX(MO_SNA_FPStartDate,0,COLUMN()),INDEX(MO_Common_QEndDate,0,COLUMN())),"N/A")</f>
        <v>N/A</v>
      </c>
      <c r="AJ863" s="412" t="str">
        <f ca="1">IFERROR(CIQLO(MO.Ticker.CapIQ,"IQ_LASTSALEPRICE",INDEX(MO_SNA_FPStartDate,0,COLUMN()),INDEX(MO_Common_QEndDate,0,COLUMN())),"N/A")</f>
        <v>N/A</v>
      </c>
      <c r="AK863" s="412" t="str">
        <f ca="1">IFERROR(CIQLO(MO.Ticker.CapIQ,"IQ_LASTSALEPRICE",INDEX(MO_SNA_FPStartDate,0,COLUMN()),INDEX(MO_Common_QEndDate,0,COLUMN())),"N/A")</f>
        <v>N/A</v>
      </c>
      <c r="AL863" s="412" t="str">
        <f ca="1">IFERROR(CIQLO(MO.Ticker.CapIQ,"IQ_LASTSALEPRICE",INDEX(MO_SNA_FPStartDate,0,COLUMN()),INDEX(MO_Common_QEndDate,0,COLUMN())),"N/A")</f>
        <v>N/A</v>
      </c>
      <c r="AM863" s="412" t="str">
        <f ca="1">IFERROR(CIQLO(MO.Ticker.CapIQ,"IQ_LASTSALEPRICE",INDEX(MO_SNA_FPStartDate,0,COLUMN()),INDEX(MO_Common_QEndDate,0,COLUMN())),"N/A")</f>
        <v>N/A</v>
      </c>
      <c r="AN863" s="412" t="str">
        <f ca="1">IFERROR(CIQLO(MO.Ticker.CapIQ,"IQ_LASTSALEPRICE",INDEX(MO_SNA_FPStartDate,0,COLUMN()),INDEX(MO_Common_QEndDate,0,COLUMN())),"N/A")</f>
        <v>N/A</v>
      </c>
      <c r="AO863" s="412" t="str">
        <f ca="1">IFERROR(CIQLO(MO.Ticker.CapIQ,"IQ_LASTSALEPRICE",INDEX(MO_SNA_FPStartDate,0,COLUMN()),INDEX(MO_Common_QEndDate,0,COLUMN())),"N/A")</f>
        <v>N/A</v>
      </c>
      <c r="AP863" s="412" t="str">
        <f ca="1">IFERROR(CIQLO(MO.Ticker.CapIQ,"IQ_LASTSALEPRICE",INDEX(MO_SNA_FPStartDate,0,COLUMN()),INDEX(MO_Common_QEndDate,0,COLUMN())),"N/A")</f>
        <v>N/A</v>
      </c>
      <c r="AQ863" s="412" t="str">
        <f ca="1">IFERROR(CIQLO(MO.Ticker.CapIQ,"IQ_LASTSALEPRICE",INDEX(MO_SNA_FPStartDate,0,COLUMN()),INDEX(MO_Common_QEndDate,0,COLUMN())),"N/A")</f>
        <v>N/A</v>
      </c>
      <c r="AR863" s="412" t="str">
        <f ca="1">IFERROR(CIQLO(MO.Ticker.CapIQ,"IQ_LASTSALEPRICE",INDEX(MO_SNA_FPStartDate,0,COLUMN()),INDEX(MO_Common_QEndDate,0,COLUMN())),"N/A")</f>
        <v>N/A</v>
      </c>
      <c r="AS863" s="412" t="str">
        <f ca="1">IFERROR(CIQLO(MO.Ticker.CapIQ,"IQ_LASTSALEPRICE",INDEX(MO_SNA_FPStartDate,0,COLUMN()),INDEX(MO_Common_QEndDate,0,COLUMN())),"N/A")</f>
        <v>N/A</v>
      </c>
      <c r="AT863" s="412" t="str">
        <f ca="1">IFERROR(CIQLO(MO.Ticker.CapIQ,"IQ_LASTSALEPRICE",INDEX(MO_SNA_FPStartDate,0,COLUMN()),INDEX(MO_Common_QEndDate,0,COLUMN())),"N/A")</f>
        <v>N/A</v>
      </c>
      <c r="AU863" s="412" t="str">
        <f ca="1">IFERROR(CIQLO(MO.Ticker.CapIQ,"IQ_LASTSALEPRICE",INDEX(MO_SNA_FPStartDate,0,COLUMN()),INDEX(MO_Common_QEndDate,0,COLUMN())),"N/A")</f>
        <v>N/A</v>
      </c>
      <c r="AV863" s="412" t="str">
        <f ca="1">IFERROR(CIQLO(MO.Ticker.CapIQ,"IQ_LASTSALEPRICE",INDEX(MO_SNA_FPStartDate,0,COLUMN()),INDEX(MO_Common_QEndDate,0,COLUMN())),"N/A")</f>
        <v>N/A</v>
      </c>
      <c r="AW863" s="752" t="str">
        <f ca="1">IFERROR(CIQLO(MO.Ticker.CapIQ,"IQ_LASTSALEPRICE",INDEX(MO_SNA_FPStartDate,0,COLUMN()),INDEX(MO_Common_QEndDate,0,COLUMN())),"N/A")</f>
        <v>N/A</v>
      </c>
      <c r="AX863" s="412" t="str">
        <f ca="1">IFERROR(CIQLO(MO.Ticker.CapIQ,"IQ_LASTSALEPRICE",INDEX(MO_SNA_FPStartDate,0,COLUMN()),INDEX(MO_Common_QEndDate,0,COLUMN())),"N/A")</f>
        <v>N/A</v>
      </c>
      <c r="AY863" s="412" t="str">
        <f ca="1">IFERROR(CIQLO(MO.Ticker.CapIQ,"IQ_LASTSALEPRICE",INDEX(MO_SNA_FPStartDate,0,COLUMN()),INDEX(MO_Common_QEndDate,0,COLUMN())),"N/A")</f>
        <v>N/A</v>
      </c>
      <c r="AZ863" s="412" t="str">
        <f ca="1">IFERROR(CIQLO(MO.Ticker.CapIQ,"IQ_LASTSALEPRICE",INDEX(MO_SNA_FPStartDate,0,COLUMN()),INDEX(MO_Common_QEndDate,0,COLUMN())),"N/A")</f>
        <v>N/A</v>
      </c>
      <c r="BA863" s="412" t="str">
        <f ca="1">IFERROR(CIQLO(MO.Ticker.CapIQ,"IQ_LASTSALEPRICE",INDEX(MO_SNA_FPStartDate,0,COLUMN()),INDEX(MO_Common_QEndDate,0,COLUMN())),"N/A")</f>
        <v>N/A</v>
      </c>
      <c r="BB863" s="412" t="str">
        <f ca="1">IFERROR(CIQLO(MO.Ticker.CapIQ,"IQ_LASTSALEPRICE",INDEX(MO_SNA_FPStartDate,0,COLUMN()),INDEX(MO_Common_QEndDate,0,COLUMN())),"N/A")</f>
        <v>N/A</v>
      </c>
      <c r="BC863" s="412" t="str">
        <f ca="1">IFERROR(CIQLO(MO.Ticker.CapIQ,"IQ_LASTSALEPRICE",INDEX(MO_SNA_FPStartDate,0,COLUMN()),INDEX(MO_Common_QEndDate,0,COLUMN())),"N/A")</f>
        <v>N/A</v>
      </c>
      <c r="BD863" s="412" t="str">
        <f ca="1">IFERROR(CIQLO(MO.Ticker.CapIQ,"IQ_LASTSALEPRICE",INDEX(MO_SNA_FPStartDate,0,COLUMN()),INDEX(MO_Common_QEndDate,0,COLUMN())),"N/A")</f>
        <v>N/A</v>
      </c>
      <c r="BE863" s="412" t="str">
        <f ca="1">IFERROR(CIQLO(MO.Ticker.CapIQ,"IQ_LASTSALEPRICE",INDEX(MO_SNA_FPStartDate,0,COLUMN()),INDEX(MO_Common_QEndDate,0,COLUMN())),"N/A")</f>
        <v>N/A</v>
      </c>
      <c r="BF863" s="412" t="str">
        <f ca="1">IFERROR(CIQLO(MO.Ticker.CapIQ,"IQ_LASTSALEPRICE",INDEX(MO_SNA_FPStartDate,0,COLUMN()),INDEX(MO_Common_QEndDate,0,COLUMN())),"N/A")</f>
        <v>N/A</v>
      </c>
      <c r="BG863" s="412" t="str">
        <f ca="1">IFERROR(CIQLO(MO.Ticker.CapIQ,"IQ_LASTSALEPRICE",INDEX(MO_SNA_FPStartDate,0,COLUMN()),INDEX(MO_Common_QEndDate,0,COLUMN())),"N/A")</f>
        <v>N/A</v>
      </c>
      <c r="BH863" s="476"/>
    </row>
    <row r="864" spans="1:60" s="415" customFormat="1" hidden="1" outlineLevel="1" x14ac:dyDescent="0.25">
      <c r="A864" s="416" t="s">
        <v>334</v>
      </c>
      <c r="B864" s="412"/>
      <c r="C864" s="413" t="str">
        <f ca="1">IFERROR(FDS(MO.Ticker.FactSet,"P_PRICE_LOW"&amp;"("&amp;INDEX(MO_SNA_FPStartDate,0,COLUMN())&amp;","&amp;INDEX(MO_Common_QEndDate,0,COLUMN())&amp;",,,,""PRICE"",""CLOSE"")"),"N/A")</f>
        <v>N/A</v>
      </c>
      <c r="D864" s="413" t="str">
        <f ca="1">IFERROR(FDS(MO.Ticker.FactSet,"P_PRICE_LOW"&amp;"("&amp;INDEX(MO_SNA_FPStartDate,0,COLUMN())&amp;","&amp;INDEX(MO_Common_QEndDate,0,COLUMN())&amp;",,,,""PRICE"",""CLOSE"")"),"N/A")</f>
        <v>N/A</v>
      </c>
      <c r="E864" s="412" t="str">
        <f ca="1">IFERROR(FDS(MO.Ticker.FactSet,"P_PRICE_LOW"&amp;"("&amp;INDEX(MO_SNA_FPStartDate,0,COLUMN())&amp;","&amp;INDEX(MO_Common_QEndDate,0,COLUMN())&amp;",,,,""PRICE"",""CLOSE"")"),"N/A")</f>
        <v>N/A</v>
      </c>
      <c r="F864" s="412" t="str">
        <f ca="1">IFERROR(FDS(MO.Ticker.FactSet,"P_PRICE_LOW"&amp;"("&amp;INDEX(MO_SNA_FPStartDate,0,COLUMN())&amp;","&amp;INDEX(MO_Common_QEndDate,0,COLUMN())&amp;",,,,""PRICE"",""CLOSE"")"),"N/A")</f>
        <v>N/A</v>
      </c>
      <c r="G864" s="412" t="str">
        <f ca="1">IFERROR(FDS(MO.Ticker.FactSet,"P_PRICE_LOW"&amp;"("&amp;INDEX(MO_SNA_FPStartDate,0,COLUMN())&amp;","&amp;INDEX(MO_Common_QEndDate,0,COLUMN())&amp;",,,,""PRICE"",""CLOSE"")"),"N/A")</f>
        <v>N/A</v>
      </c>
      <c r="H864" s="412" t="str">
        <f ca="1">IFERROR(FDS(MO.Ticker.FactSet,"P_PRICE_LOW"&amp;"("&amp;INDEX(MO_SNA_FPStartDate,0,COLUMN())&amp;","&amp;INDEX(MO_Common_QEndDate,0,COLUMN())&amp;",,,,""PRICE"",""CLOSE"")"),"N/A")</f>
        <v>N/A</v>
      </c>
      <c r="I864" s="412" t="str">
        <f ca="1">IFERROR(FDS(MO.Ticker.FactSet,"P_PRICE_LOW"&amp;"("&amp;INDEX(MO_SNA_FPStartDate,0,COLUMN())&amp;","&amp;INDEX(MO_Common_QEndDate,0,COLUMN())&amp;",,,,""PRICE"",""CLOSE"")"),"N/A")</f>
        <v>N/A</v>
      </c>
      <c r="J864" s="412" t="str">
        <f ca="1">IFERROR(FDS(MO.Ticker.FactSet,"P_PRICE_LOW"&amp;"("&amp;INDEX(MO_SNA_FPStartDate,0,COLUMN())&amp;","&amp;INDEX(MO_Common_QEndDate,0,COLUMN())&amp;",,,,""PRICE"",""CLOSE"")"),"N/A")</f>
        <v>N/A</v>
      </c>
      <c r="K864" s="412" t="str">
        <f ca="1">IFERROR(FDS(MO.Ticker.FactSet,"P_PRICE_LOW"&amp;"("&amp;INDEX(MO_SNA_FPStartDate,0,COLUMN())&amp;","&amp;INDEX(MO_Common_QEndDate,0,COLUMN())&amp;",,,,""PRICE"",""CLOSE"")"),"N/A")</f>
        <v>N/A</v>
      </c>
      <c r="L864" s="412" t="str">
        <f ca="1">IFERROR(FDS(MO.Ticker.FactSet,"P_PRICE_LOW"&amp;"("&amp;INDEX(MO_SNA_FPStartDate,0,COLUMN())&amp;","&amp;INDEX(MO_Common_QEndDate,0,COLUMN())&amp;",,,,""PRICE"",""CLOSE"")"),"N/A")</f>
        <v>N/A</v>
      </c>
      <c r="M864" s="412" t="str">
        <f ca="1">IFERROR(FDS(MO.Ticker.FactSet,"P_PRICE_LOW"&amp;"("&amp;INDEX(MO_SNA_FPStartDate,0,COLUMN())&amp;","&amp;INDEX(MO_Common_QEndDate,0,COLUMN())&amp;",,,,""PRICE"",""CLOSE"")"),"N/A")</f>
        <v>N/A</v>
      </c>
      <c r="N864" s="412" t="str">
        <f ca="1">IFERROR(FDS(MO.Ticker.FactSet,"P_PRICE_LOW"&amp;"("&amp;INDEX(MO_SNA_FPStartDate,0,COLUMN())&amp;","&amp;INDEX(MO_Common_QEndDate,0,COLUMN())&amp;",,,,""PRICE"",""CLOSE"")"),"N/A")</f>
        <v>N/A</v>
      </c>
      <c r="O864" s="412" t="str">
        <f ca="1">IFERROR(FDS(MO.Ticker.FactSet,"P_PRICE_LOW"&amp;"("&amp;INDEX(MO_SNA_FPStartDate,0,COLUMN())&amp;","&amp;INDEX(MO_Common_QEndDate,0,COLUMN())&amp;",,,,""PRICE"",""CLOSE"")"),"N/A")</f>
        <v>N/A</v>
      </c>
      <c r="P864" s="412" t="str">
        <f ca="1">IFERROR(FDS(MO.Ticker.FactSet,"P_PRICE_LOW"&amp;"("&amp;INDEX(MO_SNA_FPStartDate,0,COLUMN())&amp;","&amp;INDEX(MO_Common_QEndDate,0,COLUMN())&amp;",,,,""PRICE"",""CLOSE"")"),"N/A")</f>
        <v>N/A</v>
      </c>
      <c r="Q864" s="412" t="str">
        <f ca="1">IFERROR(FDS(MO.Ticker.FactSet,"P_PRICE_LOW"&amp;"("&amp;INDEX(MO_SNA_FPStartDate,0,COLUMN())&amp;","&amp;INDEX(MO_Common_QEndDate,0,COLUMN())&amp;",,,,""PRICE"",""CLOSE"")"),"N/A")</f>
        <v>N/A</v>
      </c>
      <c r="R864" s="412" t="str">
        <f ca="1">IFERROR(FDS(MO.Ticker.FactSet,"P_PRICE_LOW"&amp;"("&amp;INDEX(MO_SNA_FPStartDate,0,COLUMN())&amp;","&amp;INDEX(MO_Common_QEndDate,0,COLUMN())&amp;",,,,""PRICE"",""CLOSE"")"),"N/A")</f>
        <v>N/A</v>
      </c>
      <c r="S864" s="412" t="str">
        <f ca="1">IFERROR(FDS(MO.Ticker.FactSet,"P_PRICE_LOW"&amp;"("&amp;INDEX(MO_SNA_FPStartDate,0,COLUMN())&amp;","&amp;INDEX(MO_Common_QEndDate,0,COLUMN())&amp;",,,,""PRICE"",""CLOSE"")"),"N/A")</f>
        <v>N/A</v>
      </c>
      <c r="T864" s="412" t="str">
        <f ca="1">IFERROR(FDS(MO.Ticker.FactSet,"P_PRICE_LOW"&amp;"("&amp;INDEX(MO_SNA_FPStartDate,0,COLUMN())&amp;","&amp;INDEX(MO_Common_QEndDate,0,COLUMN())&amp;",,,,""PRICE"",""CLOSE"")"),"N/A")</f>
        <v>N/A</v>
      </c>
      <c r="U864" s="412" t="str">
        <f ca="1">IFERROR(FDS(MO.Ticker.FactSet,"P_PRICE_LOW"&amp;"("&amp;INDEX(MO_SNA_FPStartDate,0,COLUMN())&amp;","&amp;INDEX(MO_Common_QEndDate,0,COLUMN())&amp;",,,,""PRICE"",""CLOSE"")"),"N/A")</f>
        <v>N/A</v>
      </c>
      <c r="V864" s="412" t="str">
        <f ca="1">IFERROR(FDS(MO.Ticker.FactSet,"P_PRICE_LOW"&amp;"("&amp;INDEX(MO_SNA_FPStartDate,0,COLUMN())&amp;","&amp;INDEX(MO_Common_QEndDate,0,COLUMN())&amp;",,,,""PRICE"",""CLOSE"")"),"N/A")</f>
        <v>N/A</v>
      </c>
      <c r="W864" s="412" t="str">
        <f ca="1">IFERROR(FDS(MO.Ticker.FactSet,"P_PRICE_LOW"&amp;"("&amp;INDEX(MO_SNA_FPStartDate,0,COLUMN())&amp;","&amp;INDEX(MO_Common_QEndDate,0,COLUMN())&amp;",,,,""PRICE"",""CLOSE"")"),"N/A")</f>
        <v>N/A</v>
      </c>
      <c r="X864" s="412" t="str">
        <f ca="1">IFERROR(FDS(MO.Ticker.FactSet,"P_PRICE_LOW"&amp;"("&amp;INDEX(MO_SNA_FPStartDate,0,COLUMN())&amp;","&amp;INDEX(MO_Common_QEndDate,0,COLUMN())&amp;",,,,""PRICE"",""CLOSE"")"),"N/A")</f>
        <v>N/A</v>
      </c>
      <c r="Y864" s="412" t="str">
        <f ca="1">IFERROR(FDS(MO.Ticker.FactSet,"P_PRICE_LOW"&amp;"("&amp;INDEX(MO_SNA_FPStartDate,0,COLUMN())&amp;","&amp;INDEX(MO_Common_QEndDate,0,COLUMN())&amp;",,,,""PRICE"",""CLOSE"")"),"N/A")</f>
        <v>N/A</v>
      </c>
      <c r="Z864" s="412" t="str">
        <f ca="1">IFERROR(FDS(MO.Ticker.FactSet,"P_PRICE_LOW"&amp;"("&amp;INDEX(MO_SNA_FPStartDate,0,COLUMN())&amp;","&amp;INDEX(MO_Common_QEndDate,0,COLUMN())&amp;",,,,""PRICE"",""CLOSE"")"),"N/A")</f>
        <v>N/A</v>
      </c>
      <c r="AA864" s="412" t="str">
        <f ca="1">IFERROR(FDS(MO.Ticker.FactSet,"P_PRICE_LOW"&amp;"("&amp;INDEX(MO_SNA_FPStartDate,0,COLUMN())&amp;","&amp;INDEX(MO_Common_QEndDate,0,COLUMN())&amp;",,,,""PRICE"",""CLOSE"")"),"N/A")</f>
        <v>N/A</v>
      </c>
      <c r="AB864" s="412" t="str">
        <f ca="1">IFERROR(FDS(MO.Ticker.FactSet,"P_PRICE_LOW"&amp;"("&amp;INDEX(MO_SNA_FPStartDate,0,COLUMN())&amp;","&amp;INDEX(MO_Common_QEndDate,0,COLUMN())&amp;",,,,""PRICE"",""CLOSE"")"),"N/A")</f>
        <v>N/A</v>
      </c>
      <c r="AC864" s="412" t="str">
        <f ca="1">IFERROR(FDS(MO.Ticker.FactSet,"P_PRICE_LOW"&amp;"("&amp;INDEX(MO_SNA_FPStartDate,0,COLUMN())&amp;","&amp;INDEX(MO_Common_QEndDate,0,COLUMN())&amp;",,,,""PRICE"",""CLOSE"")"),"N/A")</f>
        <v>N/A</v>
      </c>
      <c r="AD864" s="412" t="str">
        <f ca="1">IFERROR(FDS(MO.Ticker.FactSet,"P_PRICE_LOW"&amp;"("&amp;INDEX(MO_SNA_FPStartDate,0,COLUMN())&amp;","&amp;INDEX(MO_Common_QEndDate,0,COLUMN())&amp;",,,,""PRICE"",""CLOSE"")"),"N/A")</f>
        <v>N/A</v>
      </c>
      <c r="AE864" s="412" t="str">
        <f ca="1">IFERROR(FDS(MO.Ticker.FactSet,"P_PRICE_LOW"&amp;"("&amp;INDEX(MO_SNA_FPStartDate,0,COLUMN())&amp;","&amp;INDEX(MO_Common_QEndDate,0,COLUMN())&amp;",,,,""PRICE"",""CLOSE"")"),"N/A")</f>
        <v>N/A</v>
      </c>
      <c r="AF864" s="412" t="str">
        <f ca="1">IFERROR(FDS(MO.Ticker.FactSet,"P_PRICE_LOW"&amp;"("&amp;INDEX(MO_SNA_FPStartDate,0,COLUMN())&amp;","&amp;INDEX(MO_Common_QEndDate,0,COLUMN())&amp;",,,,""PRICE"",""CLOSE"")"),"N/A")</f>
        <v>N/A</v>
      </c>
      <c r="AG864" s="412" t="str">
        <f ca="1">IFERROR(FDS(MO.Ticker.FactSet,"P_PRICE_LOW"&amp;"("&amp;INDEX(MO_SNA_FPStartDate,0,COLUMN())&amp;","&amp;INDEX(MO_Common_QEndDate,0,COLUMN())&amp;",,,,""PRICE"",""CLOSE"")"),"N/A")</f>
        <v>N/A</v>
      </c>
      <c r="AH864" s="412" t="str">
        <f ca="1">IFERROR(FDS(MO.Ticker.FactSet,"P_PRICE_LOW"&amp;"("&amp;INDEX(MO_SNA_FPStartDate,0,COLUMN())&amp;","&amp;INDEX(MO_Common_QEndDate,0,COLUMN())&amp;",,,,""PRICE"",""CLOSE"")"),"N/A")</f>
        <v>N/A</v>
      </c>
      <c r="AI864" s="412" t="str">
        <f ca="1">IFERROR(FDS(MO.Ticker.FactSet,"P_PRICE_LOW"&amp;"("&amp;INDEX(MO_SNA_FPStartDate,0,COLUMN())&amp;","&amp;INDEX(MO_Common_QEndDate,0,COLUMN())&amp;",,,,""PRICE"",""CLOSE"")"),"N/A")</f>
        <v>N/A</v>
      </c>
      <c r="AJ864" s="412" t="str">
        <f ca="1">IFERROR(FDS(MO.Ticker.FactSet,"P_PRICE_LOW"&amp;"("&amp;INDEX(MO_SNA_FPStartDate,0,COLUMN())&amp;","&amp;INDEX(MO_Common_QEndDate,0,COLUMN())&amp;",,,,""PRICE"",""CLOSE"")"),"N/A")</f>
        <v>N/A</v>
      </c>
      <c r="AK864" s="412" t="str">
        <f ca="1">IFERROR(FDS(MO.Ticker.FactSet,"P_PRICE_LOW"&amp;"("&amp;INDEX(MO_SNA_FPStartDate,0,COLUMN())&amp;","&amp;INDEX(MO_Common_QEndDate,0,COLUMN())&amp;",,,,""PRICE"",""CLOSE"")"),"N/A")</f>
        <v>N/A</v>
      </c>
      <c r="AL864" s="412" t="str">
        <f ca="1">IFERROR(FDS(MO.Ticker.FactSet,"P_PRICE_LOW"&amp;"("&amp;INDEX(MO_SNA_FPStartDate,0,COLUMN())&amp;","&amp;INDEX(MO_Common_QEndDate,0,COLUMN())&amp;",,,,""PRICE"",""CLOSE"")"),"N/A")</f>
        <v>N/A</v>
      </c>
      <c r="AM864" s="412" t="str">
        <f ca="1">IFERROR(FDS(MO.Ticker.FactSet,"P_PRICE_LOW"&amp;"("&amp;INDEX(MO_SNA_FPStartDate,0,COLUMN())&amp;","&amp;INDEX(MO_Common_QEndDate,0,COLUMN())&amp;",,,,""PRICE"",""CLOSE"")"),"N/A")</f>
        <v>N/A</v>
      </c>
      <c r="AN864" s="412" t="str">
        <f ca="1">IFERROR(FDS(MO.Ticker.FactSet,"P_PRICE_LOW"&amp;"("&amp;INDEX(MO_SNA_FPStartDate,0,COLUMN())&amp;","&amp;INDEX(MO_Common_QEndDate,0,COLUMN())&amp;",,,,""PRICE"",""CLOSE"")"),"N/A")</f>
        <v>N/A</v>
      </c>
      <c r="AO864" s="412" t="str">
        <f ca="1">IFERROR(FDS(MO.Ticker.FactSet,"P_PRICE_LOW"&amp;"("&amp;INDEX(MO_SNA_FPStartDate,0,COLUMN())&amp;","&amp;INDEX(MO_Common_QEndDate,0,COLUMN())&amp;",,,,""PRICE"",""CLOSE"")"),"N/A")</f>
        <v>N/A</v>
      </c>
      <c r="AP864" s="412" t="str">
        <f ca="1">IFERROR(FDS(MO.Ticker.FactSet,"P_PRICE_LOW"&amp;"("&amp;INDEX(MO_SNA_FPStartDate,0,COLUMN())&amp;","&amp;INDEX(MO_Common_QEndDate,0,COLUMN())&amp;",,,,""PRICE"",""CLOSE"")"),"N/A")</f>
        <v>N/A</v>
      </c>
      <c r="AQ864" s="412" t="str">
        <f ca="1">IFERROR(FDS(MO.Ticker.FactSet,"P_PRICE_LOW"&amp;"("&amp;INDEX(MO_SNA_FPStartDate,0,COLUMN())&amp;","&amp;INDEX(MO_Common_QEndDate,0,COLUMN())&amp;",,,,""PRICE"",""CLOSE"")"),"N/A")</f>
        <v>N/A</v>
      </c>
      <c r="AR864" s="412" t="str">
        <f ca="1">IFERROR(FDS(MO.Ticker.FactSet,"P_PRICE_LOW"&amp;"("&amp;INDEX(MO_SNA_FPStartDate,0,COLUMN())&amp;","&amp;INDEX(MO_Common_QEndDate,0,COLUMN())&amp;",,,,""PRICE"",""CLOSE"")"),"N/A")</f>
        <v>N/A</v>
      </c>
      <c r="AS864" s="412" t="str">
        <f ca="1">IFERROR(FDS(MO.Ticker.FactSet,"P_PRICE_LOW"&amp;"("&amp;INDEX(MO_SNA_FPStartDate,0,COLUMN())&amp;","&amp;INDEX(MO_Common_QEndDate,0,COLUMN())&amp;",,,,""PRICE"",""CLOSE"")"),"N/A")</f>
        <v>N/A</v>
      </c>
      <c r="AT864" s="412" t="str">
        <f ca="1">IFERROR(FDS(MO.Ticker.FactSet,"P_PRICE_LOW"&amp;"("&amp;INDEX(MO_SNA_FPStartDate,0,COLUMN())&amp;","&amp;INDEX(MO_Common_QEndDate,0,COLUMN())&amp;",,,,""PRICE"",""CLOSE"")"),"N/A")</f>
        <v>N/A</v>
      </c>
      <c r="AU864" s="412" t="str">
        <f ca="1">IFERROR(FDS(MO.Ticker.FactSet,"P_PRICE_LOW"&amp;"("&amp;INDEX(MO_SNA_FPStartDate,0,COLUMN())&amp;","&amp;INDEX(MO_Common_QEndDate,0,COLUMN())&amp;",,,,""PRICE"",""CLOSE"")"),"N/A")</f>
        <v>N/A</v>
      </c>
      <c r="AV864" s="412" t="str">
        <f ca="1">IFERROR(FDS(MO.Ticker.FactSet,"P_PRICE_LOW"&amp;"("&amp;INDEX(MO_SNA_FPStartDate,0,COLUMN())&amp;","&amp;INDEX(MO_Common_QEndDate,0,COLUMN())&amp;",,,,""PRICE"",""CLOSE"")"),"N/A")</f>
        <v>N/A</v>
      </c>
      <c r="AW864" s="752" t="str">
        <f ca="1">IFERROR(FDS(MO.Ticker.FactSet,"P_PRICE_LOW"&amp;"("&amp;INDEX(MO_SNA_FPStartDate,0,COLUMN())&amp;","&amp;INDEX(MO_Common_QEndDate,0,COLUMN())&amp;",,,,""PRICE"",""CLOSE"")"),"N/A")</f>
        <v>N/A</v>
      </c>
      <c r="AX864" s="412" t="str">
        <f ca="1">IFERROR(FDS(MO.Ticker.FactSet,"P_PRICE_LOW"&amp;"("&amp;INDEX(MO_SNA_FPStartDate,0,COLUMN())&amp;","&amp;INDEX(MO_Common_QEndDate,0,COLUMN())&amp;",,,,""PRICE"",""CLOSE"")"),"N/A")</f>
        <v>N/A</v>
      </c>
      <c r="AY864" s="412" t="str">
        <f ca="1">IFERROR(FDS(MO.Ticker.FactSet,"P_PRICE_LOW"&amp;"("&amp;INDEX(MO_SNA_FPStartDate,0,COLUMN())&amp;","&amp;INDEX(MO_Common_QEndDate,0,COLUMN())&amp;",,,,""PRICE"",""CLOSE"")"),"N/A")</f>
        <v>N/A</v>
      </c>
      <c r="AZ864" s="412" t="str">
        <f ca="1">IFERROR(FDS(MO.Ticker.FactSet,"P_PRICE_LOW"&amp;"("&amp;INDEX(MO_SNA_FPStartDate,0,COLUMN())&amp;","&amp;INDEX(MO_Common_QEndDate,0,COLUMN())&amp;",,,,""PRICE"",""CLOSE"")"),"N/A")</f>
        <v>N/A</v>
      </c>
      <c r="BA864" s="412" t="str">
        <f ca="1">IFERROR(FDS(MO.Ticker.FactSet,"P_PRICE_LOW"&amp;"("&amp;INDEX(MO_SNA_FPStartDate,0,COLUMN())&amp;","&amp;INDEX(MO_Common_QEndDate,0,COLUMN())&amp;",,,,""PRICE"",""CLOSE"")"),"N/A")</f>
        <v>N/A</v>
      </c>
      <c r="BB864" s="412" t="str">
        <f ca="1">IFERROR(FDS(MO.Ticker.FactSet,"P_PRICE_LOW"&amp;"("&amp;INDEX(MO_SNA_FPStartDate,0,COLUMN())&amp;","&amp;INDEX(MO_Common_QEndDate,0,COLUMN())&amp;",,,,""PRICE"",""CLOSE"")"),"N/A")</f>
        <v>N/A</v>
      </c>
      <c r="BC864" s="412" t="str">
        <f ca="1">IFERROR(FDS(MO.Ticker.FactSet,"P_PRICE_LOW"&amp;"("&amp;INDEX(MO_SNA_FPStartDate,0,COLUMN())&amp;","&amp;INDEX(MO_Common_QEndDate,0,COLUMN())&amp;",,,,""PRICE"",""CLOSE"")"),"N/A")</f>
        <v>N/A</v>
      </c>
      <c r="BD864" s="412" t="str">
        <f ca="1">IFERROR(FDS(MO.Ticker.FactSet,"P_PRICE_LOW"&amp;"("&amp;INDEX(MO_SNA_FPStartDate,0,COLUMN())&amp;","&amp;INDEX(MO_Common_QEndDate,0,COLUMN())&amp;",,,,""PRICE"",""CLOSE"")"),"N/A")</f>
        <v>N/A</v>
      </c>
      <c r="BE864" s="412" t="str">
        <f ca="1">IFERROR(FDS(MO.Ticker.FactSet,"P_PRICE_LOW"&amp;"("&amp;INDEX(MO_SNA_FPStartDate,0,COLUMN())&amp;","&amp;INDEX(MO_Common_QEndDate,0,COLUMN())&amp;",,,,""PRICE"",""CLOSE"")"),"N/A")</f>
        <v>N/A</v>
      </c>
      <c r="BF864" s="412" t="str">
        <f ca="1">IFERROR(FDS(MO.Ticker.FactSet,"P_PRICE_LOW"&amp;"("&amp;INDEX(MO_SNA_FPStartDate,0,COLUMN())&amp;","&amp;INDEX(MO_Common_QEndDate,0,COLUMN())&amp;",,,,""PRICE"",""CLOSE"")"),"N/A")</f>
        <v>N/A</v>
      </c>
      <c r="BG864" s="412" t="str">
        <f ca="1">IFERROR(FDS(MO.Ticker.FactSet,"P_PRICE_LOW"&amp;"("&amp;INDEX(MO_SNA_FPStartDate,0,COLUMN())&amp;","&amp;INDEX(MO_Common_QEndDate,0,COLUMN())&amp;",,,,""PRICE"",""CLOSE"")"),"N/A")</f>
        <v>N/A</v>
      </c>
      <c r="BH864" s="476"/>
    </row>
    <row r="865" spans="1:60" s="415" customFormat="1" hidden="1" outlineLevel="1" x14ac:dyDescent="0.25">
      <c r="A865" s="416" t="s">
        <v>567</v>
      </c>
      <c r="B865" s="412"/>
      <c r="C865" s="413" t="str">
        <f>IFERROR(_xll.TR(MO.Ticker.Thomson,"Min(TR.PriceLow)","sdate:#1 edate:#2",,INDEX(MO_SNA_FPStartDate,0,COLUMN()),INDEX(MO_Common_QEndDate,0,COLUMN())),"N/A")</f>
        <v>Not Signed In</v>
      </c>
      <c r="D865" s="413" t="str">
        <f>IFERROR(_xll.TR(MO.Ticker.Thomson,"Min(TR.PriceLow)","sdate:#1 edate:#2",,INDEX(MO_SNA_FPStartDate,0,COLUMN()),INDEX(MO_Common_QEndDate,0,COLUMN())),"N/A")</f>
        <v>Not Signed In</v>
      </c>
      <c r="E865" s="412" t="str">
        <f>IFERROR(_xll.TR(MO.Ticker.Thomson,"Min(TR.PriceLow)","sdate:#1 edate:#2",,INDEX(MO_SNA_FPStartDate,0,COLUMN()),INDEX(MO_Common_QEndDate,0,COLUMN())),"N/A")</f>
        <v>Not Signed In</v>
      </c>
      <c r="F865" s="412" t="str">
        <f>IFERROR(_xll.TR(MO.Ticker.Thomson,"Min(TR.PriceLow)","sdate:#1 edate:#2",,INDEX(MO_SNA_FPStartDate,0,COLUMN()),INDEX(MO_Common_QEndDate,0,COLUMN())),"N/A")</f>
        <v>Not Signed In</v>
      </c>
      <c r="G865" s="412" t="str">
        <f>IFERROR(_xll.TR(MO.Ticker.Thomson,"Min(TR.PriceLow)","sdate:#1 edate:#2",,INDEX(MO_SNA_FPStartDate,0,COLUMN()),INDEX(MO_Common_QEndDate,0,COLUMN())),"N/A")</f>
        <v>Not Signed In</v>
      </c>
      <c r="H865" s="412" t="str">
        <f>IFERROR(_xll.TR(MO.Ticker.Thomson,"Min(TR.PriceLow)","sdate:#1 edate:#2",,INDEX(MO_SNA_FPStartDate,0,COLUMN()),INDEX(MO_Common_QEndDate,0,COLUMN())),"N/A")</f>
        <v>Not Signed In</v>
      </c>
      <c r="I865" s="412" t="str">
        <f>IFERROR(_xll.TR(MO.Ticker.Thomson,"Min(TR.PriceLow)","sdate:#1 edate:#2",,INDEX(MO_SNA_FPStartDate,0,COLUMN()),INDEX(MO_Common_QEndDate,0,COLUMN())),"N/A")</f>
        <v>Not Signed In</v>
      </c>
      <c r="J865" s="412" t="str">
        <f>IFERROR(_xll.TR(MO.Ticker.Thomson,"Min(TR.PriceLow)","sdate:#1 edate:#2",,INDEX(MO_SNA_FPStartDate,0,COLUMN()),INDEX(MO_Common_QEndDate,0,COLUMN())),"N/A")</f>
        <v>Not Signed In</v>
      </c>
      <c r="K865" s="412" t="str">
        <f>IFERROR(_xll.TR(MO.Ticker.Thomson,"Min(TR.PriceLow)","sdate:#1 edate:#2",,INDEX(MO_SNA_FPStartDate,0,COLUMN()),INDEX(MO_Common_QEndDate,0,COLUMN())),"N/A")</f>
        <v>Not Signed In</v>
      </c>
      <c r="L865" s="412" t="str">
        <f>IFERROR(_xll.TR(MO.Ticker.Thomson,"Min(TR.PriceLow)","sdate:#1 edate:#2",,INDEX(MO_SNA_FPStartDate,0,COLUMN()),INDEX(MO_Common_QEndDate,0,COLUMN())),"N/A")</f>
        <v>Not Signed In</v>
      </c>
      <c r="M865" s="412" t="str">
        <f>IFERROR(_xll.TR(MO.Ticker.Thomson,"Min(TR.PriceLow)","sdate:#1 edate:#2",,INDEX(MO_SNA_FPStartDate,0,COLUMN()),INDEX(MO_Common_QEndDate,0,COLUMN())),"N/A")</f>
        <v>Not Signed In</v>
      </c>
      <c r="N865" s="412" t="str">
        <f>IFERROR(_xll.TR(MO.Ticker.Thomson,"Min(TR.PriceLow)","sdate:#1 edate:#2",,INDEX(MO_SNA_FPStartDate,0,COLUMN()),INDEX(MO_Common_QEndDate,0,COLUMN())),"N/A")</f>
        <v>Not Signed In</v>
      </c>
      <c r="O865" s="412" t="str">
        <f>IFERROR(_xll.TR(MO.Ticker.Thomson,"Min(TR.PriceLow)","sdate:#1 edate:#2",,INDEX(MO_SNA_FPStartDate,0,COLUMN()),INDEX(MO_Common_QEndDate,0,COLUMN())),"N/A")</f>
        <v>Not Signed In</v>
      </c>
      <c r="P865" s="412" t="str">
        <f>IFERROR(_xll.TR(MO.Ticker.Thomson,"Min(TR.PriceLow)","sdate:#1 edate:#2",,INDEX(MO_SNA_FPStartDate,0,COLUMN()),INDEX(MO_Common_QEndDate,0,COLUMN())),"N/A")</f>
        <v>Not Signed In</v>
      </c>
      <c r="Q865" s="412" t="str">
        <f>IFERROR(_xll.TR(MO.Ticker.Thomson,"Min(TR.PriceLow)","sdate:#1 edate:#2",,INDEX(MO_SNA_FPStartDate,0,COLUMN()),INDEX(MO_Common_QEndDate,0,COLUMN())),"N/A")</f>
        <v>Not Signed In</v>
      </c>
      <c r="R865" s="412" t="str">
        <f>IFERROR(_xll.TR(MO.Ticker.Thomson,"Min(TR.PriceLow)","sdate:#1 edate:#2",,INDEX(MO_SNA_FPStartDate,0,COLUMN()),INDEX(MO_Common_QEndDate,0,COLUMN())),"N/A")</f>
        <v>Not Signed In</v>
      </c>
      <c r="S865" s="412" t="str">
        <f>IFERROR(_xll.TR(MO.Ticker.Thomson,"Min(TR.PriceLow)","sdate:#1 edate:#2",,INDEX(MO_SNA_FPStartDate,0,COLUMN()),INDEX(MO_Common_QEndDate,0,COLUMN())),"N/A")</f>
        <v>Not Signed In</v>
      </c>
      <c r="T865" s="412" t="str">
        <f>IFERROR(_xll.TR(MO.Ticker.Thomson,"Min(TR.PriceLow)","sdate:#1 edate:#2",,INDEX(MO_SNA_FPStartDate,0,COLUMN()),INDEX(MO_Common_QEndDate,0,COLUMN())),"N/A")</f>
        <v>Not Signed In</v>
      </c>
      <c r="U865" s="412" t="str">
        <f>IFERROR(_xll.TR(MO.Ticker.Thomson,"Min(TR.PriceLow)","sdate:#1 edate:#2",,INDEX(MO_SNA_FPStartDate,0,COLUMN()),INDEX(MO_Common_QEndDate,0,COLUMN())),"N/A")</f>
        <v>Not Signed In</v>
      </c>
      <c r="V865" s="412" t="str">
        <f>IFERROR(_xll.TR(MO.Ticker.Thomson,"Min(TR.PriceLow)","sdate:#1 edate:#2",,INDEX(MO_SNA_FPStartDate,0,COLUMN()),INDEX(MO_Common_QEndDate,0,COLUMN())),"N/A")</f>
        <v>Not Signed In</v>
      </c>
      <c r="W865" s="412" t="str">
        <f>IFERROR(_xll.TR(MO.Ticker.Thomson,"Min(TR.PriceLow)","sdate:#1 edate:#2",,INDEX(MO_SNA_FPStartDate,0,COLUMN()),INDEX(MO_Common_QEndDate,0,COLUMN())),"N/A")</f>
        <v>Not Signed In</v>
      </c>
      <c r="X865" s="412" t="str">
        <f>IFERROR(_xll.TR(MO.Ticker.Thomson,"Min(TR.PriceLow)","sdate:#1 edate:#2",,INDEX(MO_SNA_FPStartDate,0,COLUMN()),INDEX(MO_Common_QEndDate,0,COLUMN())),"N/A")</f>
        <v>Not Signed In</v>
      </c>
      <c r="Y865" s="412" t="str">
        <f>IFERROR(_xll.TR(MO.Ticker.Thomson,"Min(TR.PriceLow)","sdate:#1 edate:#2",,INDEX(MO_SNA_FPStartDate,0,COLUMN()),INDEX(MO_Common_QEndDate,0,COLUMN())),"N/A")</f>
        <v>Not Signed In</v>
      </c>
      <c r="Z865" s="412" t="str">
        <f>IFERROR(_xll.TR(MO.Ticker.Thomson,"Min(TR.PriceLow)","sdate:#1 edate:#2",,INDEX(MO_SNA_FPStartDate,0,COLUMN()),INDEX(MO_Common_QEndDate,0,COLUMN())),"N/A")</f>
        <v>Not Signed In</v>
      </c>
      <c r="AA865" s="412" t="str">
        <f>IFERROR(_xll.TR(MO.Ticker.Thomson,"Min(TR.PriceLow)","sdate:#1 edate:#2",,INDEX(MO_SNA_FPStartDate,0,COLUMN()),INDEX(MO_Common_QEndDate,0,COLUMN())),"N/A")</f>
        <v>Not Signed In</v>
      </c>
      <c r="AB865" s="412" t="str">
        <f>IFERROR(_xll.TR(MO.Ticker.Thomson,"Min(TR.PriceLow)","sdate:#1 edate:#2",,INDEX(MO_SNA_FPStartDate,0,COLUMN()),INDEX(MO_Common_QEndDate,0,COLUMN())),"N/A")</f>
        <v>Not Signed In</v>
      </c>
      <c r="AC865" s="412" t="str">
        <f>IFERROR(_xll.TR(MO.Ticker.Thomson,"Min(TR.PriceLow)","sdate:#1 edate:#2",,INDEX(MO_SNA_FPStartDate,0,COLUMN()),INDEX(MO_Common_QEndDate,0,COLUMN())),"N/A")</f>
        <v>Not Signed In</v>
      </c>
      <c r="AD865" s="412" t="str">
        <f>IFERROR(_xll.TR(MO.Ticker.Thomson,"Min(TR.PriceLow)","sdate:#1 edate:#2",,INDEX(MO_SNA_FPStartDate,0,COLUMN()),INDEX(MO_Common_QEndDate,0,COLUMN())),"N/A")</f>
        <v>Not Signed In</v>
      </c>
      <c r="AE865" s="412" t="str">
        <f>IFERROR(_xll.TR(MO.Ticker.Thomson,"Min(TR.PriceLow)","sdate:#1 edate:#2",,INDEX(MO_SNA_FPStartDate,0,COLUMN()),INDEX(MO_Common_QEndDate,0,COLUMN())),"N/A")</f>
        <v>Not Signed In</v>
      </c>
      <c r="AF865" s="412" t="str">
        <f>IFERROR(_xll.TR(MO.Ticker.Thomson,"Min(TR.PriceLow)","sdate:#1 edate:#2",,INDEX(MO_SNA_FPStartDate,0,COLUMN()),INDEX(MO_Common_QEndDate,0,COLUMN())),"N/A")</f>
        <v>Not Signed In</v>
      </c>
      <c r="AG865" s="412" t="str">
        <f>IFERROR(_xll.TR(MO.Ticker.Thomson,"Min(TR.PriceLow)","sdate:#1 edate:#2",,INDEX(MO_SNA_FPStartDate,0,COLUMN()),INDEX(MO_Common_QEndDate,0,COLUMN())),"N/A")</f>
        <v>Not Signed In</v>
      </c>
      <c r="AH865" s="412" t="str">
        <f>IFERROR(_xll.TR(MO.Ticker.Thomson,"Min(TR.PriceLow)","sdate:#1 edate:#2",,INDEX(MO_SNA_FPStartDate,0,COLUMN()),INDEX(MO_Common_QEndDate,0,COLUMN())),"N/A")</f>
        <v>Not Signed In</v>
      </c>
      <c r="AI865" s="412" t="str">
        <f>IFERROR(_xll.TR(MO.Ticker.Thomson,"Min(TR.PriceLow)","sdate:#1 edate:#2",,INDEX(MO_SNA_FPStartDate,0,COLUMN()),INDEX(MO_Common_QEndDate,0,COLUMN())),"N/A")</f>
        <v>Not Signed In</v>
      </c>
      <c r="AJ865" s="412" t="str">
        <f>IFERROR(_xll.TR(MO.Ticker.Thomson,"Min(TR.PriceLow)","sdate:#1 edate:#2",,INDEX(MO_SNA_FPStartDate,0,COLUMN()),INDEX(MO_Common_QEndDate,0,COLUMN())),"N/A")</f>
        <v>Not Signed In</v>
      </c>
      <c r="AK865" s="412" t="str">
        <f>IFERROR(_xll.TR(MO.Ticker.Thomson,"Min(TR.PriceLow)","sdate:#1 edate:#2",,INDEX(MO_SNA_FPStartDate,0,COLUMN()),INDEX(MO_Common_QEndDate,0,COLUMN())),"N/A")</f>
        <v>Not Signed In</v>
      </c>
      <c r="AL865" s="412" t="str">
        <f>IFERROR(_xll.TR(MO.Ticker.Thomson,"Min(TR.PriceLow)","sdate:#1 edate:#2",,INDEX(MO_SNA_FPStartDate,0,COLUMN()),INDEX(MO_Common_QEndDate,0,COLUMN())),"N/A")</f>
        <v>Not Signed In</v>
      </c>
      <c r="AM865" s="412" t="str">
        <f>IFERROR(_xll.TR(MO.Ticker.Thomson,"Min(TR.PriceLow)","sdate:#1 edate:#2",,INDEX(MO_SNA_FPStartDate,0,COLUMN()),INDEX(MO_Common_QEndDate,0,COLUMN())),"N/A")</f>
        <v>Not Signed In</v>
      </c>
      <c r="AN865" s="412" t="str">
        <f>IFERROR(_xll.TR(MO.Ticker.Thomson,"Min(TR.PriceLow)","sdate:#1 edate:#2",,INDEX(MO_SNA_FPStartDate,0,COLUMN()),INDEX(MO_Common_QEndDate,0,COLUMN())),"N/A")</f>
        <v>Not Signed In</v>
      </c>
      <c r="AO865" s="412" t="str">
        <f>IFERROR(_xll.TR(MO.Ticker.Thomson,"Min(TR.PriceLow)","sdate:#1 edate:#2",,INDEX(MO_SNA_FPStartDate,0,COLUMN()),INDEX(MO_Common_QEndDate,0,COLUMN())),"N/A")</f>
        <v>Not Signed In</v>
      </c>
      <c r="AP865" s="412" t="str">
        <f>IFERROR(_xll.TR(MO.Ticker.Thomson,"Min(TR.PriceLow)","sdate:#1 edate:#2",,INDEX(MO_SNA_FPStartDate,0,COLUMN()),INDEX(MO_Common_QEndDate,0,COLUMN())),"N/A")</f>
        <v>Not Signed In</v>
      </c>
      <c r="AQ865" s="412" t="str">
        <f>IFERROR(_xll.TR(MO.Ticker.Thomson,"Min(TR.PriceLow)","sdate:#1 edate:#2",,INDEX(MO_SNA_FPStartDate,0,COLUMN()),INDEX(MO_Common_QEndDate,0,COLUMN())),"N/A")</f>
        <v>Not Signed In</v>
      </c>
      <c r="AR865" s="412" t="str">
        <f>IFERROR(_xll.TR(MO.Ticker.Thomson,"Min(TR.PriceLow)","sdate:#1 edate:#2",,INDEX(MO_SNA_FPStartDate,0,COLUMN()),INDEX(MO_Common_QEndDate,0,COLUMN())),"N/A")</f>
        <v>Not Signed In</v>
      </c>
      <c r="AS865" s="412" t="str">
        <f>IFERROR(_xll.TR(MO.Ticker.Thomson,"Min(TR.PriceLow)","sdate:#1 edate:#2",,INDEX(MO_SNA_FPStartDate,0,COLUMN()),INDEX(MO_Common_QEndDate,0,COLUMN())),"N/A")</f>
        <v>Not Signed In</v>
      </c>
      <c r="AT865" s="412" t="str">
        <f>IFERROR(_xll.TR(MO.Ticker.Thomson,"Min(TR.PriceLow)","sdate:#1 edate:#2",,INDEX(MO_SNA_FPStartDate,0,COLUMN()),INDEX(MO_Common_QEndDate,0,COLUMN())),"N/A")</f>
        <v>Not Signed In</v>
      </c>
      <c r="AU865" s="412" t="str">
        <f>IFERROR(_xll.TR(MO.Ticker.Thomson,"Min(TR.PriceLow)","sdate:#1 edate:#2",,INDEX(MO_SNA_FPStartDate,0,COLUMN()),INDEX(MO_Common_QEndDate,0,COLUMN())),"N/A")</f>
        <v>Not Signed In</v>
      </c>
      <c r="AV865" s="412" t="str">
        <f>IFERROR(_xll.TR(MO.Ticker.Thomson,"Min(TR.PriceLow)","sdate:#1 edate:#2",,INDEX(MO_SNA_FPStartDate,0,COLUMN()),INDEX(MO_Common_QEndDate,0,COLUMN())),"N/A")</f>
        <v>Not Signed In</v>
      </c>
      <c r="AW865" s="752" t="str">
        <f>IFERROR(_xll.TR(MO.Ticker.Thomson,"Min(TR.PriceLow)","sdate:#1 edate:#2",,INDEX(MO_SNA_FPStartDate,0,COLUMN()),INDEX(MO_Common_QEndDate,0,COLUMN())),"N/A")</f>
        <v>Not Signed In</v>
      </c>
      <c r="AX865" s="412" t="str">
        <f>IFERROR(_xll.TR(MO.Ticker.Thomson,"Min(TR.PriceLow)","sdate:#1 edate:#2",,INDEX(MO_SNA_FPStartDate,0,COLUMN()),INDEX(MO_Common_QEndDate,0,COLUMN())),"N/A")</f>
        <v>Not Signed In</v>
      </c>
      <c r="AY865" s="412" t="str">
        <f>IFERROR(_xll.TR(MO.Ticker.Thomson,"Min(TR.PriceLow)","sdate:#1 edate:#2",,INDEX(MO_SNA_FPStartDate,0,COLUMN()),INDEX(MO_Common_QEndDate,0,COLUMN())),"N/A")</f>
        <v>Not Signed In</v>
      </c>
      <c r="AZ865" s="412" t="str">
        <f>IFERROR(_xll.TR(MO.Ticker.Thomson,"Min(TR.PriceLow)","sdate:#1 edate:#2",,INDEX(MO_SNA_FPStartDate,0,COLUMN()),INDEX(MO_Common_QEndDate,0,COLUMN())),"N/A")</f>
        <v>Not Signed In</v>
      </c>
      <c r="BA865" s="412" t="str">
        <f>IFERROR(_xll.TR(MO.Ticker.Thomson,"Min(TR.PriceLow)","sdate:#1 edate:#2",,INDEX(MO_SNA_FPStartDate,0,COLUMN()),INDEX(MO_Common_QEndDate,0,COLUMN())),"N/A")</f>
        <v>Not Signed In</v>
      </c>
      <c r="BB865" s="412" t="str">
        <f>IFERROR(_xll.TR(MO.Ticker.Thomson,"Min(TR.PriceLow)","sdate:#1 edate:#2",,INDEX(MO_SNA_FPStartDate,0,COLUMN()),INDEX(MO_Common_QEndDate,0,COLUMN())),"N/A")</f>
        <v>Not Signed In</v>
      </c>
      <c r="BC865" s="412" t="str">
        <f>IFERROR(_xll.TR(MO.Ticker.Thomson,"Min(TR.PriceLow)","sdate:#1 edate:#2",,INDEX(MO_SNA_FPStartDate,0,COLUMN()),INDEX(MO_Common_QEndDate,0,COLUMN())),"N/A")</f>
        <v>Not Signed In</v>
      </c>
      <c r="BD865" s="412" t="str">
        <f>IFERROR(_xll.TR(MO.Ticker.Thomson,"Min(TR.PriceLow)","sdate:#1 edate:#2",,INDEX(MO_SNA_FPStartDate,0,COLUMN()),INDEX(MO_Common_QEndDate,0,COLUMN())),"N/A")</f>
        <v>Not Signed In</v>
      </c>
      <c r="BE865" s="412" t="str">
        <f>IFERROR(_xll.TR(MO.Ticker.Thomson,"Min(TR.PriceLow)","sdate:#1 edate:#2",,INDEX(MO_SNA_FPStartDate,0,COLUMN()),INDEX(MO_Common_QEndDate,0,COLUMN())),"N/A")</f>
        <v>Not Signed In</v>
      </c>
      <c r="BF865" s="412" t="str">
        <f>IFERROR(_xll.TR(MO.Ticker.Thomson,"Min(TR.PriceLow)","sdate:#1 edate:#2",,INDEX(MO_SNA_FPStartDate,0,COLUMN()),INDEX(MO_Common_QEndDate,0,COLUMN())),"N/A")</f>
        <v>Not Signed In</v>
      </c>
      <c r="BG865" s="412" t="str">
        <f>IFERROR(_xll.TR(MO.Ticker.Thomson,"Min(TR.PriceLow)","sdate:#1 edate:#2",,INDEX(MO_SNA_FPStartDate,0,COLUMN()),INDEX(MO_Common_QEndDate,0,COLUMN())),"N/A")</f>
        <v>Not Signed In</v>
      </c>
      <c r="BH865" s="476"/>
    </row>
    <row r="866" spans="1:60" hidden="1" outlineLevel="1" x14ac:dyDescent="0.25">
      <c r="A866" s="379"/>
      <c r="B866" s="1021"/>
      <c r="C866" s="194"/>
      <c r="D866" s="194"/>
      <c r="E866" s="1021"/>
      <c r="F866" s="1021"/>
      <c r="G866" s="1021"/>
      <c r="H866" s="1021"/>
      <c r="I866" s="1021"/>
      <c r="J866" s="1021"/>
      <c r="K866" s="1021"/>
      <c r="L866" s="1021"/>
      <c r="M866" s="1021"/>
      <c r="N866" s="1021"/>
      <c r="O866" s="1021"/>
      <c r="P866" s="381"/>
      <c r="Q866" s="1021"/>
      <c r="R866" s="1021"/>
      <c r="S866" s="1021"/>
      <c r="T866" s="1021"/>
      <c r="U866" s="1021"/>
      <c r="V866" s="1021"/>
      <c r="W866" s="1021"/>
      <c r="X866" s="1021"/>
      <c r="Y866" s="1021"/>
      <c r="Z866" s="1021"/>
      <c r="AA866" s="1021"/>
      <c r="AB866" s="1021"/>
      <c r="AC866" s="1021"/>
      <c r="AD866" s="1021"/>
      <c r="AE866" s="1021"/>
      <c r="AF866" s="1021"/>
      <c r="AG866" s="1021"/>
      <c r="AH866" s="1021"/>
      <c r="AI866" s="1021"/>
      <c r="AJ866" s="1021"/>
      <c r="AK866" s="1021"/>
      <c r="AL866" s="1021"/>
      <c r="AM866" s="1021"/>
      <c r="AN866" s="1021"/>
      <c r="AO866" s="1021"/>
      <c r="AP866" s="1021"/>
      <c r="AQ866" s="1021"/>
      <c r="AR866" s="1021"/>
      <c r="AS866" s="1021"/>
      <c r="AT866" s="1021"/>
      <c r="AU866" s="1021"/>
      <c r="AV866" s="1021"/>
      <c r="AW866" s="1022"/>
      <c r="AX866" s="1021"/>
      <c r="AY866" s="1021"/>
      <c r="AZ866" s="1021"/>
      <c r="BA866" s="1021"/>
      <c r="BB866" s="1021"/>
      <c r="BC866" s="1021"/>
      <c r="BD866" s="1021"/>
      <c r="BE866" s="1021"/>
      <c r="BF866" s="1021"/>
      <c r="BG866" s="1021"/>
      <c r="BH866" s="472"/>
    </row>
    <row r="867" spans="1:60" s="415" customFormat="1" collapsed="1" x14ac:dyDescent="0.25">
      <c r="A867" s="411" t="str">
        <f ca="1">"Stock Average: "&amp;IF(OR(MO.RealTimeStockPriceToggle=FALSE,VLOOKUP(MO.DataSourceName,MO_SPT_StockAverage_Sources,COLUMN()+2,FALSE)="N/A"),"Real-Time Off Source",MO.DataSourceName)</f>
        <v>Stock Average: Real-Time Off Source</v>
      </c>
      <c r="B867" s="412"/>
      <c r="C867" s="413">
        <f t="shared" ref="C867:AH867" ca="1" si="924">IF(OR(MO.RealTimeStockPriceToggle=FALSE,VLOOKUP(MO.DataSourceName,MO_SPT_StockAverage_Sources,COLUMN(),FALSE)="N/A"),VLOOKUP("Real-Time Off Source",MO_SPT_StockAverage_Sources,COLUMN(),FALSE),VLOOKUP(MO.DataSourceName,MO_SPT_StockAverage_Sources,COLUMN(),FALSE))</f>
        <v>0</v>
      </c>
      <c r="D867" s="413">
        <f t="shared" ca="1" si="924"/>
        <v>4.6683446153846102</v>
      </c>
      <c r="E867" s="412">
        <f t="shared" ca="1" si="924"/>
        <v>5.3609420634920602</v>
      </c>
      <c r="F867" s="412">
        <f t="shared" ca="1" si="924"/>
        <v>6.2337388000000002</v>
      </c>
      <c r="G867" s="412">
        <f t="shared" ca="1" si="924"/>
        <v>7.2993666666666703</v>
      </c>
      <c r="H867" s="412">
        <f t="shared" ca="1" si="924"/>
        <v>15.054917187499999</v>
      </c>
      <c r="I867" s="412">
        <f t="shared" ca="1" si="924"/>
        <v>29.680643750000002</v>
      </c>
      <c r="J867" s="412">
        <f t="shared" ca="1" si="924"/>
        <v>30.637359374999999</v>
      </c>
      <c r="K867" s="412">
        <f t="shared" ca="1" si="924"/>
        <v>20.880273412698401</v>
      </c>
      <c r="L867" s="412">
        <f t="shared" ca="1" si="924"/>
        <v>40.182327868852397</v>
      </c>
      <c r="M867" s="412">
        <f t="shared" ca="1" si="924"/>
        <v>41.841355555555602</v>
      </c>
      <c r="N867" s="412">
        <f t="shared" ca="1" si="924"/>
        <v>49.505859375</v>
      </c>
      <c r="O867" s="412">
        <f t="shared" ca="1" si="924"/>
        <v>46.879406250000002</v>
      </c>
      <c r="P867" s="412">
        <f t="shared" ca="1" si="924"/>
        <v>44.665811111111097</v>
      </c>
      <c r="Q867" s="412">
        <f t="shared" ca="1" si="924"/>
        <v>40.497278688524602</v>
      </c>
      <c r="R867" s="412">
        <f t="shared" ca="1" si="924"/>
        <v>47.435809523809503</v>
      </c>
      <c r="S867" s="412">
        <f t="shared" ca="1" si="924"/>
        <v>50.974312500000003</v>
      </c>
      <c r="T867" s="412">
        <f t="shared" ca="1" si="924"/>
        <v>44.890749999999997</v>
      </c>
      <c r="U867" s="412">
        <f t="shared" ca="1" si="924"/>
        <v>46.008547619047597</v>
      </c>
      <c r="V867" s="412">
        <f t="shared" ca="1" si="924"/>
        <v>39.4600655737705</v>
      </c>
      <c r="W867" s="412">
        <f t="shared" ca="1" si="924"/>
        <v>45.455968749999997</v>
      </c>
      <c r="X867" s="412">
        <f t="shared" ca="1" si="924"/>
        <v>43.315156250000001</v>
      </c>
      <c r="Y867" s="412">
        <f t="shared" ca="1" si="924"/>
        <v>39.426253968254002</v>
      </c>
      <c r="Z867" s="412">
        <f t="shared" ca="1" si="924"/>
        <v>41.953452380952399</v>
      </c>
      <c r="AA867" s="412">
        <f t="shared" ca="1" si="924"/>
        <v>50.756516129032299</v>
      </c>
      <c r="AB867" s="412">
        <f t="shared" ca="1" si="924"/>
        <v>66.036888888888896</v>
      </c>
      <c r="AC867" s="412">
        <f t="shared" ca="1" si="924"/>
        <v>69.217047619047605</v>
      </c>
      <c r="AD867" s="412">
        <f t="shared" ca="1" si="924"/>
        <v>65.250412698412703</v>
      </c>
      <c r="AE867" s="412">
        <f t="shared" ca="1" si="924"/>
        <v>62.863258964143398</v>
      </c>
      <c r="AF867" s="412">
        <f t="shared" ca="1" si="924"/>
        <v>65.985786885245901</v>
      </c>
      <c r="AG867" s="412">
        <f t="shared" ca="1" si="924"/>
        <v>60.967453124999999</v>
      </c>
      <c r="AH867" s="412">
        <f t="shared" ca="1" si="924"/>
        <v>62.483206349206398</v>
      </c>
      <c r="AI867" s="412">
        <f t="shared" ref="AI867:AY867" ca="1" si="925">IF(OR(MO.RealTimeStockPriceToggle=FALSE,VLOOKUP(MO.DataSourceName,MO_SPT_StockAverage_Sources,COLUMN(),FALSE)="N/A"),VLOOKUP("Real-Time Off Source",MO_SPT_StockAverage_Sources,COLUMN(),FALSE),VLOOKUP(MO.DataSourceName,MO_SPT_StockAverage_Sources,COLUMN(),FALSE))</f>
        <v>64.531158730158793</v>
      </c>
      <c r="AJ867" s="412">
        <f t="shared" ca="1" si="925"/>
        <v>63.461972111553798</v>
      </c>
      <c r="AK867" s="412">
        <f t="shared" ca="1" si="925"/>
        <v>60.2233442622951</v>
      </c>
      <c r="AL867" s="412">
        <f t="shared" ca="1" si="925"/>
        <v>46.691555555555603</v>
      </c>
      <c r="AM867" s="412">
        <f t="shared" ca="1" si="925"/>
        <v>46.9684375</v>
      </c>
      <c r="AN867" s="412">
        <f t="shared" ca="1" si="925"/>
        <v>65.07421875</v>
      </c>
      <c r="AO867" s="412">
        <f t="shared" ca="1" si="925"/>
        <v>54.706039682539597</v>
      </c>
      <c r="AP867" s="412">
        <f t="shared" ca="1" si="925"/>
        <v>124.366322580645</v>
      </c>
      <c r="AQ867" s="412">
        <f t="shared" ca="1" si="925"/>
        <v>162.29209523809499</v>
      </c>
      <c r="AR867" s="412">
        <f ca="1">IF(OR(MO.RealTimeStockPriceToggle=FALSE,VLOOKUP(MO.DataSourceName,MO_SPT_StockAverage_Sources,COLUMN(),FALSE)="N/A"),VLOOKUP("Real-Time Off Source",MO_SPT_StockAverage_Sources,COLUMN(),FALSE),VLOOKUP(MO.DataSourceName,MO_SPT_StockAverage_Sources,COLUMN(),FALSE))</f>
        <v>354.20740625000002</v>
      </c>
      <c r="AS867" s="412">
        <f ca="1">IF(OR(MO.RealTimeStockPriceToggle=FALSE,VLOOKUP(MO.DataSourceName,MO_SPT_StockAverage_Sources,COLUMN(),FALSE)="N/A"),VLOOKUP("Real-Time Off Source",MO_SPT_StockAverage_Sources,COLUMN(),FALSE),VLOOKUP(MO.DataSourceName,MO_SPT_StockAverage_Sources,COLUMN(),FALSE))</f>
        <v>511.95109374999998</v>
      </c>
      <c r="AT867" s="412">
        <f ca="1">IF(OR(MO.RealTimeStockPriceToggle=FALSE,VLOOKUP(MO.DataSourceName,MO_SPT_StockAverage_Sources,COLUMN(),FALSE)="N/A"),VLOOKUP("Real-Time Off Source",MO_SPT_StockAverage_Sources,COLUMN(),FALSE),VLOOKUP(MO.DataSourceName,MO_SPT_StockAverage_Sources,COLUMN(),FALSE))</f>
        <v>289.997067193676</v>
      </c>
      <c r="AU867" s="412">
        <f t="shared" ca="1" si="925"/>
        <v>753.18590163934402</v>
      </c>
      <c r="AV867" s="412">
        <f ca="1">IF(OR(MO.RealTimeStockPriceToggle=FALSE,VLOOKUP(MO.DataSourceName,MO_SPT_StockAverage_Sources,COLUMN(),FALSE)="N/A"),VLOOKUP("Real-Time Off Source",MO_SPT_StockAverage_Sources,COLUMN(),FALSE),VLOOKUP(MO.DataSourceName,MO_SPT_StockAverage_Sources,COLUMN(),FALSE))</f>
        <v>651.25825396825405</v>
      </c>
      <c r="AW867" s="752">
        <f ca="1">IF(OR(MO.RealTimeStockPriceToggle=FALSE,VLOOKUP(MO.DataSourceName,MO_SPT_StockAverage_Sources,COLUMN(),FALSE)="N/A"),VLOOKUP("Real-Time Off Source",MO_SPT_StockAverage_Sources,COLUMN(),FALSE),VLOOKUP(MO.DataSourceName,MO_SPT_StockAverage_Sources,COLUMN(),FALSE))</f>
        <v>706.26468750000004</v>
      </c>
      <c r="AX867" s="412">
        <f t="shared" ca="1" si="925"/>
        <v>0</v>
      </c>
      <c r="AY867" s="412">
        <f t="shared" ca="1" si="925"/>
        <v>0</v>
      </c>
      <c r="AZ867" s="412">
        <f t="shared" ref="AZ867:BG867" ca="1" si="926">IF(OR(MO.RealTimeStockPriceToggle=FALSE,VLOOKUP(MO.DataSourceName,MO_SPT_StockAverage_Sources,COLUMN(),FALSE)="N/A"),VLOOKUP("Real-Time Off Source",MO_SPT_StockAverage_Sources,COLUMN(),FALSE),VLOOKUP(MO.DataSourceName,MO_SPT_StockAverage_Sources,COLUMN(),FALSE))</f>
        <v>0</v>
      </c>
      <c r="BA867" s="412">
        <f t="shared" ca="1" si="926"/>
        <v>0</v>
      </c>
      <c r="BB867" s="412">
        <f t="shared" ca="1" si="926"/>
        <v>0</v>
      </c>
      <c r="BC867" s="412">
        <f t="shared" ca="1" si="926"/>
        <v>0</v>
      </c>
      <c r="BD867" s="412">
        <f t="shared" ca="1" si="926"/>
        <v>0</v>
      </c>
      <c r="BE867" s="412">
        <f t="shared" ca="1" si="926"/>
        <v>0</v>
      </c>
      <c r="BF867" s="412">
        <f t="shared" ca="1" si="926"/>
        <v>0</v>
      </c>
      <c r="BG867" s="412">
        <f t="shared" ca="1" si="926"/>
        <v>0</v>
      </c>
      <c r="BH867" s="476"/>
    </row>
    <row r="868" spans="1:60" s="415" customFormat="1" hidden="1" outlineLevel="1" x14ac:dyDescent="0.25">
      <c r="A868" s="416" t="s">
        <v>332</v>
      </c>
      <c r="B868" s="412"/>
      <c r="C868" s="413">
        <v>0</v>
      </c>
      <c r="D868" s="413">
        <v>4.6683446153846102</v>
      </c>
      <c r="E868" s="412">
        <v>5.3609420634920602</v>
      </c>
      <c r="F868" s="412">
        <v>6.2337388000000002</v>
      </c>
      <c r="G868" s="412">
        <v>7.2993666666666703</v>
      </c>
      <c r="H868" s="412">
        <v>15.054917187499999</v>
      </c>
      <c r="I868" s="412">
        <v>29.680643750000002</v>
      </c>
      <c r="J868" s="412">
        <v>30.637359374999999</v>
      </c>
      <c r="K868" s="412">
        <v>20.880273412698401</v>
      </c>
      <c r="L868" s="412">
        <v>40.182327868852397</v>
      </c>
      <c r="M868" s="412">
        <v>41.841355555555602</v>
      </c>
      <c r="N868" s="412">
        <v>49.505859375</v>
      </c>
      <c r="O868" s="412">
        <v>46.879406250000002</v>
      </c>
      <c r="P868" s="412">
        <v>44.665811111111097</v>
      </c>
      <c r="Q868" s="412">
        <v>40.497278688524602</v>
      </c>
      <c r="R868" s="412">
        <v>47.435809523809503</v>
      </c>
      <c r="S868" s="412">
        <v>50.974312500000003</v>
      </c>
      <c r="T868" s="412">
        <v>44.890749999999997</v>
      </c>
      <c r="U868" s="412">
        <v>46.008547619047597</v>
      </c>
      <c r="V868" s="412">
        <v>39.4600655737705</v>
      </c>
      <c r="W868" s="412">
        <v>45.455968749999997</v>
      </c>
      <c r="X868" s="412">
        <v>43.315156250000001</v>
      </c>
      <c r="Y868" s="412">
        <v>39.426253968254002</v>
      </c>
      <c r="Z868" s="412">
        <v>41.953452380952399</v>
      </c>
      <c r="AA868" s="412">
        <v>50.756516129032299</v>
      </c>
      <c r="AB868" s="412">
        <v>66.036888888888896</v>
      </c>
      <c r="AC868" s="412">
        <v>69.217047619047605</v>
      </c>
      <c r="AD868" s="412">
        <v>65.250412698412703</v>
      </c>
      <c r="AE868" s="412">
        <v>62.863258964143398</v>
      </c>
      <c r="AF868" s="412">
        <v>65.985786885245901</v>
      </c>
      <c r="AG868" s="412">
        <v>60.967453124999999</v>
      </c>
      <c r="AH868" s="412">
        <v>62.483206349206398</v>
      </c>
      <c r="AI868" s="412">
        <v>64.531158730158793</v>
      </c>
      <c r="AJ868" s="412">
        <v>63.461972111553798</v>
      </c>
      <c r="AK868" s="412">
        <v>60.2233442622951</v>
      </c>
      <c r="AL868" s="412">
        <v>46.691555555555603</v>
      </c>
      <c r="AM868" s="412">
        <v>46.9684375</v>
      </c>
      <c r="AN868" s="412">
        <v>65.07421875</v>
      </c>
      <c r="AO868" s="412">
        <v>54.706039682539597</v>
      </c>
      <c r="AP868" s="412">
        <v>124.366322580645</v>
      </c>
      <c r="AQ868" s="412">
        <v>162.29209523809499</v>
      </c>
      <c r="AR868" s="412">
        <v>354.20740625000002</v>
      </c>
      <c r="AS868" s="412">
        <v>511.95109374999998</v>
      </c>
      <c r="AT868" s="412">
        <v>289.997067193676</v>
      </c>
      <c r="AU868" s="412">
        <v>753.18590163934402</v>
      </c>
      <c r="AV868" s="412">
        <v>651.25825396825405</v>
      </c>
      <c r="AW868" s="752">
        <v>706.26468750000004</v>
      </c>
      <c r="AX868" s="412"/>
      <c r="AY868" s="412"/>
      <c r="AZ868" s="412"/>
      <c r="BA868" s="412"/>
      <c r="BB868" s="412"/>
      <c r="BC868" s="412"/>
      <c r="BD868" s="412"/>
      <c r="BE868" s="412"/>
      <c r="BF868" s="412"/>
      <c r="BG868" s="412"/>
      <c r="BH868" s="476"/>
    </row>
    <row r="869" spans="1:60" s="415" customFormat="1" hidden="1" outlineLevel="1" x14ac:dyDescent="0.25">
      <c r="A869" s="416" t="s">
        <v>7</v>
      </c>
      <c r="B869" s="412"/>
      <c r="C869" s="413" t="str">
        <f ca="1">IFERROR(BDP(MO.Ticker.Bloomberg&amp;" Equity","INTERVAL_AVG","MARKET_DATA_OVERRIDE=PX_LAST","START_DATE_OVERRIDE",TEXT(INDEX(MO_SNA_FPStartDate,0,COLUMN()),"YYYYMMDD"),"END_DATE_OVERRIDE",TEXT(INDEX(MO_Common_QEndDate,0,COLUMN()),"YYYYMMDD")),"N/A")</f>
        <v>N/A</v>
      </c>
      <c r="D869" s="413" t="str">
        <f ca="1">IFERROR(BDP(MO.Ticker.Bloomberg&amp;" Equity","INTERVAL_AVG","MARKET_DATA_OVERRIDE=PX_LAST","START_DATE_OVERRIDE",TEXT(INDEX(MO_SNA_FPStartDate,0,COLUMN()),"YYYYMMDD"),"END_DATE_OVERRIDE",TEXT(INDEX(MO_Common_QEndDate,0,COLUMN()),"YYYYMMDD")),"N/A")</f>
        <v>N/A</v>
      </c>
      <c r="E869" s="412" t="str">
        <f ca="1">IFERROR(BDP(MO.Ticker.Bloomberg&amp;" Equity","INTERVAL_AVG","MARKET_DATA_OVERRIDE=PX_LAST","START_DATE_OVERRIDE",TEXT(INDEX(MO_SNA_FPStartDate,0,COLUMN()),"YYYYMMDD"),"END_DATE_OVERRIDE",TEXT(INDEX(MO_Common_QEndDate,0,COLUMN()),"YYYYMMDD")),"N/A")</f>
        <v>N/A</v>
      </c>
      <c r="F869" s="412" t="str">
        <f ca="1">IFERROR(BDP(MO.Ticker.Bloomberg&amp;" Equity","INTERVAL_AVG","MARKET_DATA_OVERRIDE=PX_LAST","START_DATE_OVERRIDE",TEXT(INDEX(MO_SNA_FPStartDate,0,COLUMN()),"YYYYMMDD"),"END_DATE_OVERRIDE",TEXT(INDEX(MO_Common_QEndDate,0,COLUMN()),"YYYYMMDD")),"N/A")</f>
        <v>N/A</v>
      </c>
      <c r="G869" s="412" t="str">
        <f ca="1">IFERROR(BDP(MO.Ticker.Bloomberg&amp;" Equity","INTERVAL_AVG","MARKET_DATA_OVERRIDE=PX_LAST","START_DATE_OVERRIDE",TEXT(INDEX(MO_SNA_FPStartDate,0,COLUMN()),"YYYYMMDD"),"END_DATE_OVERRIDE",TEXT(INDEX(MO_Common_QEndDate,0,COLUMN()),"YYYYMMDD")),"N/A")</f>
        <v>N/A</v>
      </c>
      <c r="H869" s="412" t="str">
        <f ca="1">IFERROR(BDP(MO.Ticker.Bloomberg&amp;" Equity","INTERVAL_AVG","MARKET_DATA_OVERRIDE=PX_LAST","START_DATE_OVERRIDE",TEXT(INDEX(MO_SNA_FPStartDate,0,COLUMN()),"YYYYMMDD"),"END_DATE_OVERRIDE",TEXT(INDEX(MO_Common_QEndDate,0,COLUMN()),"YYYYMMDD")),"N/A")</f>
        <v>N/A</v>
      </c>
      <c r="I869" s="412" t="str">
        <f ca="1">IFERROR(BDP(MO.Ticker.Bloomberg&amp;" Equity","INTERVAL_AVG","MARKET_DATA_OVERRIDE=PX_LAST","START_DATE_OVERRIDE",TEXT(INDEX(MO_SNA_FPStartDate,0,COLUMN()),"YYYYMMDD"),"END_DATE_OVERRIDE",TEXT(INDEX(MO_Common_QEndDate,0,COLUMN()),"YYYYMMDD")),"N/A")</f>
        <v>N/A</v>
      </c>
      <c r="J869" s="412" t="str">
        <f ca="1">IFERROR(BDP(MO.Ticker.Bloomberg&amp;" Equity","INTERVAL_AVG","MARKET_DATA_OVERRIDE=PX_LAST","START_DATE_OVERRIDE",TEXT(INDEX(MO_SNA_FPStartDate,0,COLUMN()),"YYYYMMDD"),"END_DATE_OVERRIDE",TEXT(INDEX(MO_Common_QEndDate,0,COLUMN()),"YYYYMMDD")),"N/A")</f>
        <v>N/A</v>
      </c>
      <c r="K869" s="412" t="str">
        <f ca="1">IFERROR(BDP(MO.Ticker.Bloomberg&amp;" Equity","INTERVAL_AVG","MARKET_DATA_OVERRIDE=PX_LAST","START_DATE_OVERRIDE",TEXT(INDEX(MO_SNA_FPStartDate,0,COLUMN()),"YYYYMMDD"),"END_DATE_OVERRIDE",TEXT(INDEX(MO_Common_QEndDate,0,COLUMN()),"YYYYMMDD")),"N/A")</f>
        <v>N/A</v>
      </c>
      <c r="L869" s="412" t="str">
        <f ca="1">IFERROR(BDP(MO.Ticker.Bloomberg&amp;" Equity","INTERVAL_AVG","MARKET_DATA_OVERRIDE=PX_LAST","START_DATE_OVERRIDE",TEXT(INDEX(MO_SNA_FPStartDate,0,COLUMN()),"YYYYMMDD"),"END_DATE_OVERRIDE",TEXT(INDEX(MO_Common_QEndDate,0,COLUMN()),"YYYYMMDD")),"N/A")</f>
        <v>N/A</v>
      </c>
      <c r="M869" s="412" t="str">
        <f ca="1">IFERROR(BDP(MO.Ticker.Bloomberg&amp;" Equity","INTERVAL_AVG","MARKET_DATA_OVERRIDE=PX_LAST","START_DATE_OVERRIDE",TEXT(INDEX(MO_SNA_FPStartDate,0,COLUMN()),"YYYYMMDD"),"END_DATE_OVERRIDE",TEXT(INDEX(MO_Common_QEndDate,0,COLUMN()),"YYYYMMDD")),"N/A")</f>
        <v>N/A</v>
      </c>
      <c r="N869" s="412" t="str">
        <f ca="1">IFERROR(BDP(MO.Ticker.Bloomberg&amp;" Equity","INTERVAL_AVG","MARKET_DATA_OVERRIDE=PX_LAST","START_DATE_OVERRIDE",TEXT(INDEX(MO_SNA_FPStartDate,0,COLUMN()),"YYYYMMDD"),"END_DATE_OVERRIDE",TEXT(INDEX(MO_Common_QEndDate,0,COLUMN()),"YYYYMMDD")),"N/A")</f>
        <v>N/A</v>
      </c>
      <c r="O869" s="412" t="str">
        <f ca="1">IFERROR(BDP(MO.Ticker.Bloomberg&amp;" Equity","INTERVAL_AVG","MARKET_DATA_OVERRIDE=PX_LAST","START_DATE_OVERRIDE",TEXT(INDEX(MO_SNA_FPStartDate,0,COLUMN()),"YYYYMMDD"),"END_DATE_OVERRIDE",TEXT(INDEX(MO_Common_QEndDate,0,COLUMN()),"YYYYMMDD")),"N/A")</f>
        <v>N/A</v>
      </c>
      <c r="P869" s="412" t="str">
        <f ca="1">IFERROR(BDP(MO.Ticker.Bloomberg&amp;" Equity","INTERVAL_AVG","MARKET_DATA_OVERRIDE=PX_LAST","START_DATE_OVERRIDE",TEXT(INDEX(MO_SNA_FPStartDate,0,COLUMN()),"YYYYMMDD"),"END_DATE_OVERRIDE",TEXT(INDEX(MO_Common_QEndDate,0,COLUMN()),"YYYYMMDD")),"N/A")</f>
        <v>N/A</v>
      </c>
      <c r="Q869" s="412" t="str">
        <f ca="1">IFERROR(BDP(MO.Ticker.Bloomberg&amp;" Equity","INTERVAL_AVG","MARKET_DATA_OVERRIDE=PX_LAST","START_DATE_OVERRIDE",TEXT(INDEX(MO_SNA_FPStartDate,0,COLUMN()),"YYYYMMDD"),"END_DATE_OVERRIDE",TEXT(INDEX(MO_Common_QEndDate,0,COLUMN()),"YYYYMMDD")),"N/A")</f>
        <v>N/A</v>
      </c>
      <c r="R869" s="412" t="str">
        <f ca="1">IFERROR(BDP(MO.Ticker.Bloomberg&amp;" Equity","INTERVAL_AVG","MARKET_DATA_OVERRIDE=PX_LAST","START_DATE_OVERRIDE",TEXT(INDEX(MO_SNA_FPStartDate,0,COLUMN()),"YYYYMMDD"),"END_DATE_OVERRIDE",TEXT(INDEX(MO_Common_QEndDate,0,COLUMN()),"YYYYMMDD")),"N/A")</f>
        <v>N/A</v>
      </c>
      <c r="S869" s="412" t="str">
        <f ca="1">IFERROR(BDP(MO.Ticker.Bloomberg&amp;" Equity","INTERVAL_AVG","MARKET_DATA_OVERRIDE=PX_LAST","START_DATE_OVERRIDE",TEXT(INDEX(MO_SNA_FPStartDate,0,COLUMN()),"YYYYMMDD"),"END_DATE_OVERRIDE",TEXT(INDEX(MO_Common_QEndDate,0,COLUMN()),"YYYYMMDD")),"N/A")</f>
        <v>N/A</v>
      </c>
      <c r="T869" s="412" t="str">
        <f ca="1">IFERROR(BDP(MO.Ticker.Bloomberg&amp;" Equity","INTERVAL_AVG","MARKET_DATA_OVERRIDE=PX_LAST","START_DATE_OVERRIDE",TEXT(INDEX(MO_SNA_FPStartDate,0,COLUMN()),"YYYYMMDD"),"END_DATE_OVERRIDE",TEXT(INDEX(MO_Common_QEndDate,0,COLUMN()),"YYYYMMDD")),"N/A")</f>
        <v>N/A</v>
      </c>
      <c r="U869" s="412" t="str">
        <f ca="1">IFERROR(BDP(MO.Ticker.Bloomberg&amp;" Equity","INTERVAL_AVG","MARKET_DATA_OVERRIDE=PX_LAST","START_DATE_OVERRIDE",TEXT(INDEX(MO_SNA_FPStartDate,0,COLUMN()),"YYYYMMDD"),"END_DATE_OVERRIDE",TEXT(INDEX(MO_Common_QEndDate,0,COLUMN()),"YYYYMMDD")),"N/A")</f>
        <v>N/A</v>
      </c>
      <c r="V869" s="412" t="str">
        <f ca="1">IFERROR(BDP(MO.Ticker.Bloomberg&amp;" Equity","INTERVAL_AVG","MARKET_DATA_OVERRIDE=PX_LAST","START_DATE_OVERRIDE",TEXT(INDEX(MO_SNA_FPStartDate,0,COLUMN()),"YYYYMMDD"),"END_DATE_OVERRIDE",TEXT(INDEX(MO_Common_QEndDate,0,COLUMN()),"YYYYMMDD")),"N/A")</f>
        <v>N/A</v>
      </c>
      <c r="W869" s="412" t="str">
        <f ca="1">IFERROR(BDP(MO.Ticker.Bloomberg&amp;" Equity","INTERVAL_AVG","MARKET_DATA_OVERRIDE=PX_LAST","START_DATE_OVERRIDE",TEXT(INDEX(MO_SNA_FPStartDate,0,COLUMN()),"YYYYMMDD"),"END_DATE_OVERRIDE",TEXT(INDEX(MO_Common_QEndDate,0,COLUMN()),"YYYYMMDD")),"N/A")</f>
        <v>N/A</v>
      </c>
      <c r="X869" s="412" t="str">
        <f ca="1">IFERROR(BDP(MO.Ticker.Bloomberg&amp;" Equity","INTERVAL_AVG","MARKET_DATA_OVERRIDE=PX_LAST","START_DATE_OVERRIDE",TEXT(INDEX(MO_SNA_FPStartDate,0,COLUMN()),"YYYYMMDD"),"END_DATE_OVERRIDE",TEXT(INDEX(MO_Common_QEndDate,0,COLUMN()),"YYYYMMDD")),"N/A")</f>
        <v>N/A</v>
      </c>
      <c r="Y869" s="412" t="str">
        <f ca="1">IFERROR(BDP(MO.Ticker.Bloomberg&amp;" Equity","INTERVAL_AVG","MARKET_DATA_OVERRIDE=PX_LAST","START_DATE_OVERRIDE",TEXT(INDEX(MO_SNA_FPStartDate,0,COLUMN()),"YYYYMMDD"),"END_DATE_OVERRIDE",TEXT(INDEX(MO_Common_QEndDate,0,COLUMN()),"YYYYMMDD")),"N/A")</f>
        <v>N/A</v>
      </c>
      <c r="Z869" s="412" t="str">
        <f ca="1">IFERROR(BDP(MO.Ticker.Bloomberg&amp;" Equity","INTERVAL_AVG","MARKET_DATA_OVERRIDE=PX_LAST","START_DATE_OVERRIDE",TEXT(INDEX(MO_SNA_FPStartDate,0,COLUMN()),"YYYYMMDD"),"END_DATE_OVERRIDE",TEXT(INDEX(MO_Common_QEndDate,0,COLUMN()),"YYYYMMDD")),"N/A")</f>
        <v>N/A</v>
      </c>
      <c r="AA869" s="412" t="str">
        <f ca="1">IFERROR(BDP(MO.Ticker.Bloomberg&amp;" Equity","INTERVAL_AVG","MARKET_DATA_OVERRIDE=PX_LAST","START_DATE_OVERRIDE",TEXT(INDEX(MO_SNA_FPStartDate,0,COLUMN()),"YYYYMMDD"),"END_DATE_OVERRIDE",TEXT(INDEX(MO_Common_QEndDate,0,COLUMN()),"YYYYMMDD")),"N/A")</f>
        <v>N/A</v>
      </c>
      <c r="AB869" s="412" t="str">
        <f ca="1">IFERROR(BDP(MO.Ticker.Bloomberg&amp;" Equity","INTERVAL_AVG","MARKET_DATA_OVERRIDE=PX_LAST","START_DATE_OVERRIDE",TEXT(INDEX(MO_SNA_FPStartDate,0,COLUMN()),"YYYYMMDD"),"END_DATE_OVERRIDE",TEXT(INDEX(MO_Common_QEndDate,0,COLUMN()),"YYYYMMDD")),"N/A")</f>
        <v>N/A</v>
      </c>
      <c r="AC869" s="412" t="str">
        <f ca="1">IFERROR(BDP(MO.Ticker.Bloomberg&amp;" Equity","INTERVAL_AVG","MARKET_DATA_OVERRIDE=PX_LAST","START_DATE_OVERRIDE",TEXT(INDEX(MO_SNA_FPStartDate,0,COLUMN()),"YYYYMMDD"),"END_DATE_OVERRIDE",TEXT(INDEX(MO_Common_QEndDate,0,COLUMN()),"YYYYMMDD")),"N/A")</f>
        <v>N/A</v>
      </c>
      <c r="AD869" s="412" t="str">
        <f ca="1">IFERROR(BDP(MO.Ticker.Bloomberg&amp;" Equity","INTERVAL_AVG","MARKET_DATA_OVERRIDE=PX_LAST","START_DATE_OVERRIDE",TEXT(INDEX(MO_SNA_FPStartDate,0,COLUMN()),"YYYYMMDD"),"END_DATE_OVERRIDE",TEXT(INDEX(MO_Common_QEndDate,0,COLUMN()),"YYYYMMDD")),"N/A")</f>
        <v>N/A</v>
      </c>
      <c r="AE869" s="412" t="str">
        <f ca="1">IFERROR(BDP(MO.Ticker.Bloomberg&amp;" Equity","INTERVAL_AVG","MARKET_DATA_OVERRIDE=PX_LAST","START_DATE_OVERRIDE",TEXT(INDEX(MO_SNA_FPStartDate,0,COLUMN()),"YYYYMMDD"),"END_DATE_OVERRIDE",TEXT(INDEX(MO_Common_QEndDate,0,COLUMN()),"YYYYMMDD")),"N/A")</f>
        <v>N/A</v>
      </c>
      <c r="AF869" s="412" t="str">
        <f ca="1">IFERROR(BDP(MO.Ticker.Bloomberg&amp;" Equity","INTERVAL_AVG","MARKET_DATA_OVERRIDE=PX_LAST","START_DATE_OVERRIDE",TEXT(INDEX(MO_SNA_FPStartDate,0,COLUMN()),"YYYYMMDD"),"END_DATE_OVERRIDE",TEXT(INDEX(MO_Common_QEndDate,0,COLUMN()),"YYYYMMDD")),"N/A")</f>
        <v>N/A</v>
      </c>
      <c r="AG869" s="412" t="str">
        <f ca="1">IFERROR(BDP(MO.Ticker.Bloomberg&amp;" Equity","INTERVAL_AVG","MARKET_DATA_OVERRIDE=PX_LAST","START_DATE_OVERRIDE",TEXT(INDEX(MO_SNA_FPStartDate,0,COLUMN()),"YYYYMMDD"),"END_DATE_OVERRIDE",TEXT(INDEX(MO_Common_QEndDate,0,COLUMN()),"YYYYMMDD")),"N/A")</f>
        <v>N/A</v>
      </c>
      <c r="AH869" s="412" t="str">
        <f ca="1">IFERROR(BDP(MO.Ticker.Bloomberg&amp;" Equity","INTERVAL_AVG","MARKET_DATA_OVERRIDE=PX_LAST","START_DATE_OVERRIDE",TEXT(INDEX(MO_SNA_FPStartDate,0,COLUMN()),"YYYYMMDD"),"END_DATE_OVERRIDE",TEXT(INDEX(MO_Common_QEndDate,0,COLUMN()),"YYYYMMDD")),"N/A")</f>
        <v>N/A</v>
      </c>
      <c r="AI869" s="412" t="str">
        <f ca="1">IFERROR(BDP(MO.Ticker.Bloomberg&amp;" Equity","INTERVAL_AVG","MARKET_DATA_OVERRIDE=PX_LAST","START_DATE_OVERRIDE",TEXT(INDEX(MO_SNA_FPStartDate,0,COLUMN()),"YYYYMMDD"),"END_DATE_OVERRIDE",TEXT(INDEX(MO_Common_QEndDate,0,COLUMN()),"YYYYMMDD")),"N/A")</f>
        <v>N/A</v>
      </c>
      <c r="AJ869" s="412" t="str">
        <f ca="1">IFERROR(BDP(MO.Ticker.Bloomberg&amp;" Equity","INTERVAL_AVG","MARKET_DATA_OVERRIDE=PX_LAST","START_DATE_OVERRIDE",TEXT(INDEX(MO_SNA_FPStartDate,0,COLUMN()),"YYYYMMDD"),"END_DATE_OVERRIDE",TEXT(INDEX(MO_Common_QEndDate,0,COLUMN()),"YYYYMMDD")),"N/A")</f>
        <v>N/A</v>
      </c>
      <c r="AK869" s="412" t="str">
        <f ca="1">IFERROR(BDP(MO.Ticker.Bloomberg&amp;" Equity","INTERVAL_AVG","MARKET_DATA_OVERRIDE=PX_LAST","START_DATE_OVERRIDE",TEXT(INDEX(MO_SNA_FPStartDate,0,COLUMN()),"YYYYMMDD"),"END_DATE_OVERRIDE",TEXT(INDEX(MO_Common_QEndDate,0,COLUMN()),"YYYYMMDD")),"N/A")</f>
        <v>N/A</v>
      </c>
      <c r="AL869" s="412" t="str">
        <f ca="1">IFERROR(BDP(MO.Ticker.Bloomberg&amp;" Equity","INTERVAL_AVG","MARKET_DATA_OVERRIDE=PX_LAST","START_DATE_OVERRIDE",TEXT(INDEX(MO_SNA_FPStartDate,0,COLUMN()),"YYYYMMDD"),"END_DATE_OVERRIDE",TEXT(INDEX(MO_Common_QEndDate,0,COLUMN()),"YYYYMMDD")),"N/A")</f>
        <v>N/A</v>
      </c>
      <c r="AM869" s="412" t="str">
        <f ca="1">IFERROR(BDP(MO.Ticker.Bloomberg&amp;" Equity","INTERVAL_AVG","MARKET_DATA_OVERRIDE=PX_LAST","START_DATE_OVERRIDE",TEXT(INDEX(MO_SNA_FPStartDate,0,COLUMN()),"YYYYMMDD"),"END_DATE_OVERRIDE",TEXT(INDEX(MO_Common_QEndDate,0,COLUMN()),"YYYYMMDD")),"N/A")</f>
        <v>N/A</v>
      </c>
      <c r="AN869" s="412" t="str">
        <f ca="1">IFERROR(BDP(MO.Ticker.Bloomberg&amp;" Equity","INTERVAL_AVG","MARKET_DATA_OVERRIDE=PX_LAST","START_DATE_OVERRIDE",TEXT(INDEX(MO_SNA_FPStartDate,0,COLUMN()),"YYYYMMDD"),"END_DATE_OVERRIDE",TEXT(INDEX(MO_Common_QEndDate,0,COLUMN()),"YYYYMMDD")),"N/A")</f>
        <v>N/A</v>
      </c>
      <c r="AO869" s="412" t="str">
        <f ca="1">IFERROR(BDP(MO.Ticker.Bloomberg&amp;" Equity","INTERVAL_AVG","MARKET_DATA_OVERRIDE=PX_LAST","START_DATE_OVERRIDE",TEXT(INDEX(MO_SNA_FPStartDate,0,COLUMN()),"YYYYMMDD"),"END_DATE_OVERRIDE",TEXT(INDEX(MO_Common_QEndDate,0,COLUMN()),"YYYYMMDD")),"N/A")</f>
        <v>N/A</v>
      </c>
      <c r="AP869" s="412" t="str">
        <f ca="1">IFERROR(BDP(MO.Ticker.Bloomberg&amp;" Equity","INTERVAL_AVG","MARKET_DATA_OVERRIDE=PX_LAST","START_DATE_OVERRIDE",TEXT(INDEX(MO_SNA_FPStartDate,0,COLUMN()),"YYYYMMDD"),"END_DATE_OVERRIDE",TEXT(INDEX(MO_Common_QEndDate,0,COLUMN()),"YYYYMMDD")),"N/A")</f>
        <v>N/A</v>
      </c>
      <c r="AQ869" s="412" t="str">
        <f ca="1">IFERROR(BDP(MO.Ticker.Bloomberg&amp;" Equity","INTERVAL_AVG","MARKET_DATA_OVERRIDE=PX_LAST","START_DATE_OVERRIDE",TEXT(INDEX(MO_SNA_FPStartDate,0,COLUMN()),"YYYYMMDD"),"END_DATE_OVERRIDE",TEXT(INDEX(MO_Common_QEndDate,0,COLUMN()),"YYYYMMDD")),"N/A")</f>
        <v>N/A</v>
      </c>
      <c r="AR869" s="412" t="str">
        <f ca="1">IFERROR(BDP(MO.Ticker.Bloomberg&amp;" Equity","INTERVAL_AVG","MARKET_DATA_OVERRIDE=PX_LAST","START_DATE_OVERRIDE",TEXT(INDEX(MO_SNA_FPStartDate,0,COLUMN()),"YYYYMMDD"),"END_DATE_OVERRIDE",TEXT(INDEX(MO_Common_QEndDate,0,COLUMN()),"YYYYMMDD")),"N/A")</f>
        <v>N/A</v>
      </c>
      <c r="AS869" s="412" t="str">
        <f ca="1">IFERROR(BDP(MO.Ticker.Bloomberg&amp;" Equity","INTERVAL_AVG","MARKET_DATA_OVERRIDE=PX_LAST","START_DATE_OVERRIDE",TEXT(INDEX(MO_SNA_FPStartDate,0,COLUMN()),"YYYYMMDD"),"END_DATE_OVERRIDE",TEXT(INDEX(MO_Common_QEndDate,0,COLUMN()),"YYYYMMDD")),"N/A")</f>
        <v>N/A</v>
      </c>
      <c r="AT869" s="412" t="str">
        <f ca="1">IFERROR(BDP(MO.Ticker.Bloomberg&amp;" Equity","INTERVAL_AVG","MARKET_DATA_OVERRIDE=PX_LAST","START_DATE_OVERRIDE",TEXT(INDEX(MO_SNA_FPStartDate,0,COLUMN()),"YYYYMMDD"),"END_DATE_OVERRIDE",TEXT(INDEX(MO_Common_QEndDate,0,COLUMN()),"YYYYMMDD")),"N/A")</f>
        <v>N/A</v>
      </c>
      <c r="AU869" s="412" t="str">
        <f ca="1">IFERROR(BDP(MO.Ticker.Bloomberg&amp;" Equity","INTERVAL_AVG","MARKET_DATA_OVERRIDE=PX_LAST","START_DATE_OVERRIDE",TEXT(INDEX(MO_SNA_FPStartDate,0,COLUMN()),"YYYYMMDD"),"END_DATE_OVERRIDE",TEXT(INDEX(MO_Common_QEndDate,0,COLUMN()),"YYYYMMDD")),"N/A")</f>
        <v>N/A</v>
      </c>
      <c r="AV869" s="412" t="str">
        <f ca="1">IFERROR(BDP(MO.Ticker.Bloomberg&amp;" Equity","INTERVAL_AVG","MARKET_DATA_OVERRIDE=PX_LAST","START_DATE_OVERRIDE",TEXT(INDEX(MO_SNA_FPStartDate,0,COLUMN()),"YYYYMMDD"),"END_DATE_OVERRIDE",TEXT(INDEX(MO_Common_QEndDate,0,COLUMN()),"YYYYMMDD")),"N/A")</f>
        <v>N/A</v>
      </c>
      <c r="AW869" s="752" t="str">
        <f ca="1">IFERROR(BDP(MO.Ticker.Bloomberg&amp;" Equity","INTERVAL_AVG","MARKET_DATA_OVERRIDE=PX_LAST","START_DATE_OVERRIDE",TEXT(INDEX(MO_SNA_FPStartDate,0,COLUMN()),"YYYYMMDD"),"END_DATE_OVERRIDE",TEXT(INDEX(MO_Common_QEndDate,0,COLUMN()),"YYYYMMDD")),"N/A")</f>
        <v>N/A</v>
      </c>
      <c r="AX869" s="412" t="str">
        <f ca="1">IFERROR(BDP(MO.Ticker.Bloomberg&amp;" Equity","INTERVAL_AVG","MARKET_DATA_OVERRIDE=PX_LAST","START_DATE_OVERRIDE",TEXT(INDEX(MO_SNA_FPStartDate,0,COLUMN()),"YYYYMMDD"),"END_DATE_OVERRIDE",TEXT(INDEX(MO_Common_QEndDate,0,COLUMN()),"YYYYMMDD")),"N/A")</f>
        <v>N/A</v>
      </c>
      <c r="AY869" s="412" t="str">
        <f ca="1">IFERROR(BDP(MO.Ticker.Bloomberg&amp;" Equity","INTERVAL_AVG","MARKET_DATA_OVERRIDE=PX_LAST","START_DATE_OVERRIDE",TEXT(INDEX(MO_SNA_FPStartDate,0,COLUMN()),"YYYYMMDD"),"END_DATE_OVERRIDE",TEXT(INDEX(MO_Common_QEndDate,0,COLUMN()),"YYYYMMDD")),"N/A")</f>
        <v>N/A</v>
      </c>
      <c r="AZ869" s="412" t="str">
        <f ca="1">IFERROR(BDP(MO.Ticker.Bloomberg&amp;" Equity","INTERVAL_AVG","MARKET_DATA_OVERRIDE=PX_LAST","START_DATE_OVERRIDE",TEXT(INDEX(MO_SNA_FPStartDate,0,COLUMN()),"YYYYMMDD"),"END_DATE_OVERRIDE",TEXT(INDEX(MO_Common_QEndDate,0,COLUMN()),"YYYYMMDD")),"N/A")</f>
        <v>N/A</v>
      </c>
      <c r="BA869" s="412" t="str">
        <f ca="1">IFERROR(BDP(MO.Ticker.Bloomberg&amp;" Equity","INTERVAL_AVG","MARKET_DATA_OVERRIDE=PX_LAST","START_DATE_OVERRIDE",TEXT(INDEX(MO_SNA_FPStartDate,0,COLUMN()),"YYYYMMDD"),"END_DATE_OVERRIDE",TEXT(INDEX(MO_Common_QEndDate,0,COLUMN()),"YYYYMMDD")),"N/A")</f>
        <v>N/A</v>
      </c>
      <c r="BB869" s="412" t="str">
        <f ca="1">IFERROR(BDP(MO.Ticker.Bloomberg&amp;" Equity","INTERVAL_AVG","MARKET_DATA_OVERRIDE=PX_LAST","START_DATE_OVERRIDE",TEXT(INDEX(MO_SNA_FPStartDate,0,COLUMN()),"YYYYMMDD"),"END_DATE_OVERRIDE",TEXT(INDEX(MO_Common_QEndDate,0,COLUMN()),"YYYYMMDD")),"N/A")</f>
        <v>N/A</v>
      </c>
      <c r="BC869" s="412" t="str">
        <f ca="1">IFERROR(BDP(MO.Ticker.Bloomberg&amp;" Equity","INTERVAL_AVG","MARKET_DATA_OVERRIDE=PX_LAST","START_DATE_OVERRIDE",TEXT(INDEX(MO_SNA_FPStartDate,0,COLUMN()),"YYYYMMDD"),"END_DATE_OVERRIDE",TEXT(INDEX(MO_Common_QEndDate,0,COLUMN()),"YYYYMMDD")),"N/A")</f>
        <v>N/A</v>
      </c>
      <c r="BD869" s="412" t="str">
        <f ca="1">IFERROR(BDP(MO.Ticker.Bloomberg&amp;" Equity","INTERVAL_AVG","MARKET_DATA_OVERRIDE=PX_LAST","START_DATE_OVERRIDE",TEXT(INDEX(MO_SNA_FPStartDate,0,COLUMN()),"YYYYMMDD"),"END_DATE_OVERRIDE",TEXT(INDEX(MO_Common_QEndDate,0,COLUMN()),"YYYYMMDD")),"N/A")</f>
        <v>N/A</v>
      </c>
      <c r="BE869" s="412" t="str">
        <f ca="1">IFERROR(BDP(MO.Ticker.Bloomberg&amp;" Equity","INTERVAL_AVG","MARKET_DATA_OVERRIDE=PX_LAST","START_DATE_OVERRIDE",TEXT(INDEX(MO_SNA_FPStartDate,0,COLUMN()),"YYYYMMDD"),"END_DATE_OVERRIDE",TEXT(INDEX(MO_Common_QEndDate,0,COLUMN()),"YYYYMMDD")),"N/A")</f>
        <v>N/A</v>
      </c>
      <c r="BF869" s="412" t="str">
        <f ca="1">IFERROR(BDP(MO.Ticker.Bloomberg&amp;" Equity","INTERVAL_AVG","MARKET_DATA_OVERRIDE=PX_LAST","START_DATE_OVERRIDE",TEXT(INDEX(MO_SNA_FPStartDate,0,COLUMN()),"YYYYMMDD"),"END_DATE_OVERRIDE",TEXT(INDEX(MO_Common_QEndDate,0,COLUMN()),"YYYYMMDD")),"N/A")</f>
        <v>N/A</v>
      </c>
      <c r="BG869" s="412" t="str">
        <f ca="1">IFERROR(BDP(MO.Ticker.Bloomberg&amp;" Equity","INTERVAL_AVG","MARKET_DATA_OVERRIDE=PX_LAST","START_DATE_OVERRIDE",TEXT(INDEX(MO_SNA_FPStartDate,0,COLUMN()),"YYYYMMDD"),"END_DATE_OVERRIDE",TEXT(INDEX(MO_Common_QEndDate,0,COLUMN()),"YYYYMMDD")),"N/A")</f>
        <v>N/A</v>
      </c>
      <c r="BH869" s="476"/>
    </row>
    <row r="870" spans="1:60" s="415" customFormat="1" hidden="1" outlineLevel="1" x14ac:dyDescent="0.25">
      <c r="A870" s="416" t="s">
        <v>333</v>
      </c>
      <c r="B870" s="412"/>
      <c r="C870" s="413" t="str">
        <f ca="1">IFERROR(CIQAVG(MO.Ticker.CapIQ,"IQ_LASTSALEPRICE",INDEX(MO_SNA_FPStartDate,0,COLUMN()),INDEX(MO_Common_QEndDate,0,COLUMN())),"N/A")</f>
        <v>N/A</v>
      </c>
      <c r="D870" s="413" t="str">
        <f ca="1">IFERROR(CIQAVG(MO.Ticker.CapIQ,"IQ_LASTSALEPRICE",INDEX(MO_SNA_FPStartDate,0,COLUMN()),INDEX(MO_Common_QEndDate,0,COLUMN())),"N/A")</f>
        <v>N/A</v>
      </c>
      <c r="E870" s="412" t="str">
        <f ca="1">IFERROR(CIQAVG(MO.Ticker.CapIQ,"IQ_LASTSALEPRICE",INDEX(MO_SNA_FPStartDate,0,COLUMN()),INDEX(MO_Common_QEndDate,0,COLUMN())),"N/A")</f>
        <v>N/A</v>
      </c>
      <c r="F870" s="412" t="str">
        <f ca="1">IFERROR(CIQAVG(MO.Ticker.CapIQ,"IQ_LASTSALEPRICE",INDEX(MO_SNA_FPStartDate,0,COLUMN()),INDEX(MO_Common_QEndDate,0,COLUMN())),"N/A")</f>
        <v>N/A</v>
      </c>
      <c r="G870" s="412" t="str">
        <f ca="1">IFERROR(CIQAVG(MO.Ticker.CapIQ,"IQ_LASTSALEPRICE",INDEX(MO_SNA_FPStartDate,0,COLUMN()),INDEX(MO_Common_QEndDate,0,COLUMN())),"N/A")</f>
        <v>N/A</v>
      </c>
      <c r="H870" s="412" t="str">
        <f ca="1">IFERROR(CIQAVG(MO.Ticker.CapIQ,"IQ_LASTSALEPRICE",INDEX(MO_SNA_FPStartDate,0,COLUMN()),INDEX(MO_Common_QEndDate,0,COLUMN())),"N/A")</f>
        <v>N/A</v>
      </c>
      <c r="I870" s="412" t="str">
        <f ca="1">IFERROR(CIQAVG(MO.Ticker.CapIQ,"IQ_LASTSALEPRICE",INDEX(MO_SNA_FPStartDate,0,COLUMN()),INDEX(MO_Common_QEndDate,0,COLUMN())),"N/A")</f>
        <v>N/A</v>
      </c>
      <c r="J870" s="412" t="str">
        <f ca="1">IFERROR(CIQAVG(MO.Ticker.CapIQ,"IQ_LASTSALEPRICE",INDEX(MO_SNA_FPStartDate,0,COLUMN()),INDEX(MO_Common_QEndDate,0,COLUMN())),"N/A")</f>
        <v>N/A</v>
      </c>
      <c r="K870" s="412" t="str">
        <f ca="1">IFERROR(CIQAVG(MO.Ticker.CapIQ,"IQ_LASTSALEPRICE",INDEX(MO_SNA_FPStartDate,0,COLUMN()),INDEX(MO_Common_QEndDate,0,COLUMN())),"N/A")</f>
        <v>N/A</v>
      </c>
      <c r="L870" s="412" t="str">
        <f ca="1">IFERROR(CIQAVG(MO.Ticker.CapIQ,"IQ_LASTSALEPRICE",INDEX(MO_SNA_FPStartDate,0,COLUMN()),INDEX(MO_Common_QEndDate,0,COLUMN())),"N/A")</f>
        <v>N/A</v>
      </c>
      <c r="M870" s="412" t="str">
        <f ca="1">IFERROR(CIQAVG(MO.Ticker.CapIQ,"IQ_LASTSALEPRICE",INDEX(MO_SNA_FPStartDate,0,COLUMN()),INDEX(MO_Common_QEndDate,0,COLUMN())),"N/A")</f>
        <v>N/A</v>
      </c>
      <c r="N870" s="412" t="str">
        <f ca="1">IFERROR(CIQAVG(MO.Ticker.CapIQ,"IQ_LASTSALEPRICE",INDEX(MO_SNA_FPStartDate,0,COLUMN()),INDEX(MO_Common_QEndDate,0,COLUMN())),"N/A")</f>
        <v>N/A</v>
      </c>
      <c r="O870" s="412" t="str">
        <f ca="1">IFERROR(CIQAVG(MO.Ticker.CapIQ,"IQ_LASTSALEPRICE",INDEX(MO_SNA_FPStartDate,0,COLUMN()),INDEX(MO_Common_QEndDate,0,COLUMN())),"N/A")</f>
        <v>N/A</v>
      </c>
      <c r="P870" s="412" t="str">
        <f ca="1">IFERROR(CIQAVG(MO.Ticker.CapIQ,"IQ_LASTSALEPRICE",INDEX(MO_SNA_FPStartDate,0,COLUMN()),INDEX(MO_Common_QEndDate,0,COLUMN())),"N/A")</f>
        <v>N/A</v>
      </c>
      <c r="Q870" s="412" t="str">
        <f ca="1">IFERROR(CIQAVG(MO.Ticker.CapIQ,"IQ_LASTSALEPRICE",INDEX(MO_SNA_FPStartDate,0,COLUMN()),INDEX(MO_Common_QEndDate,0,COLUMN())),"N/A")</f>
        <v>N/A</v>
      </c>
      <c r="R870" s="412" t="str">
        <f ca="1">IFERROR(CIQAVG(MO.Ticker.CapIQ,"IQ_LASTSALEPRICE",INDEX(MO_SNA_FPStartDate,0,COLUMN()),INDEX(MO_Common_QEndDate,0,COLUMN())),"N/A")</f>
        <v>N/A</v>
      </c>
      <c r="S870" s="412" t="str">
        <f ca="1">IFERROR(CIQAVG(MO.Ticker.CapIQ,"IQ_LASTSALEPRICE",INDEX(MO_SNA_FPStartDate,0,COLUMN()),INDEX(MO_Common_QEndDate,0,COLUMN())),"N/A")</f>
        <v>N/A</v>
      </c>
      <c r="T870" s="412" t="str">
        <f ca="1">IFERROR(CIQAVG(MO.Ticker.CapIQ,"IQ_LASTSALEPRICE",INDEX(MO_SNA_FPStartDate,0,COLUMN()),INDEX(MO_Common_QEndDate,0,COLUMN())),"N/A")</f>
        <v>N/A</v>
      </c>
      <c r="U870" s="412" t="str">
        <f ca="1">IFERROR(CIQAVG(MO.Ticker.CapIQ,"IQ_LASTSALEPRICE",INDEX(MO_SNA_FPStartDate,0,COLUMN()),INDEX(MO_Common_QEndDate,0,COLUMN())),"N/A")</f>
        <v>N/A</v>
      </c>
      <c r="V870" s="412" t="str">
        <f ca="1">IFERROR(CIQAVG(MO.Ticker.CapIQ,"IQ_LASTSALEPRICE",INDEX(MO_SNA_FPStartDate,0,COLUMN()),INDEX(MO_Common_QEndDate,0,COLUMN())),"N/A")</f>
        <v>N/A</v>
      </c>
      <c r="W870" s="412" t="str">
        <f ca="1">IFERROR(CIQAVG(MO.Ticker.CapIQ,"IQ_LASTSALEPRICE",INDEX(MO_SNA_FPStartDate,0,COLUMN()),INDEX(MO_Common_QEndDate,0,COLUMN())),"N/A")</f>
        <v>N/A</v>
      </c>
      <c r="X870" s="412" t="str">
        <f ca="1">IFERROR(CIQAVG(MO.Ticker.CapIQ,"IQ_LASTSALEPRICE",INDEX(MO_SNA_FPStartDate,0,COLUMN()),INDEX(MO_Common_QEndDate,0,COLUMN())),"N/A")</f>
        <v>N/A</v>
      </c>
      <c r="Y870" s="412" t="str">
        <f ca="1">IFERROR(CIQAVG(MO.Ticker.CapIQ,"IQ_LASTSALEPRICE",INDEX(MO_SNA_FPStartDate,0,COLUMN()),INDEX(MO_Common_QEndDate,0,COLUMN())),"N/A")</f>
        <v>N/A</v>
      </c>
      <c r="Z870" s="412" t="str">
        <f ca="1">IFERROR(CIQAVG(MO.Ticker.CapIQ,"IQ_LASTSALEPRICE",INDEX(MO_SNA_FPStartDate,0,COLUMN()),INDEX(MO_Common_QEndDate,0,COLUMN())),"N/A")</f>
        <v>N/A</v>
      </c>
      <c r="AA870" s="412" t="str">
        <f ca="1">IFERROR(CIQAVG(MO.Ticker.CapIQ,"IQ_LASTSALEPRICE",INDEX(MO_SNA_FPStartDate,0,COLUMN()),INDEX(MO_Common_QEndDate,0,COLUMN())),"N/A")</f>
        <v>N/A</v>
      </c>
      <c r="AB870" s="412" t="str">
        <f ca="1">IFERROR(CIQAVG(MO.Ticker.CapIQ,"IQ_LASTSALEPRICE",INDEX(MO_SNA_FPStartDate,0,COLUMN()),INDEX(MO_Common_QEndDate,0,COLUMN())),"N/A")</f>
        <v>N/A</v>
      </c>
      <c r="AC870" s="412" t="str">
        <f ca="1">IFERROR(CIQAVG(MO.Ticker.CapIQ,"IQ_LASTSALEPRICE",INDEX(MO_SNA_FPStartDate,0,COLUMN()),INDEX(MO_Common_QEndDate,0,COLUMN())),"N/A")</f>
        <v>N/A</v>
      </c>
      <c r="AD870" s="412" t="str">
        <f ca="1">IFERROR(CIQAVG(MO.Ticker.CapIQ,"IQ_LASTSALEPRICE",INDEX(MO_SNA_FPStartDate,0,COLUMN()),INDEX(MO_Common_QEndDate,0,COLUMN())),"N/A")</f>
        <v>N/A</v>
      </c>
      <c r="AE870" s="412" t="str">
        <f ca="1">IFERROR(CIQAVG(MO.Ticker.CapIQ,"IQ_LASTSALEPRICE",INDEX(MO_SNA_FPStartDate,0,COLUMN()),INDEX(MO_Common_QEndDate,0,COLUMN())),"N/A")</f>
        <v>N/A</v>
      </c>
      <c r="AF870" s="412" t="str">
        <f ca="1">IFERROR(CIQAVG(MO.Ticker.CapIQ,"IQ_LASTSALEPRICE",INDEX(MO_SNA_FPStartDate,0,COLUMN()),INDEX(MO_Common_QEndDate,0,COLUMN())),"N/A")</f>
        <v>N/A</v>
      </c>
      <c r="AG870" s="412" t="str">
        <f ca="1">IFERROR(CIQAVG(MO.Ticker.CapIQ,"IQ_LASTSALEPRICE",INDEX(MO_SNA_FPStartDate,0,COLUMN()),INDEX(MO_Common_QEndDate,0,COLUMN())),"N/A")</f>
        <v>N/A</v>
      </c>
      <c r="AH870" s="412" t="str">
        <f ca="1">IFERROR(CIQAVG(MO.Ticker.CapIQ,"IQ_LASTSALEPRICE",INDEX(MO_SNA_FPStartDate,0,COLUMN()),INDEX(MO_Common_QEndDate,0,COLUMN())),"N/A")</f>
        <v>N/A</v>
      </c>
      <c r="AI870" s="412" t="str">
        <f ca="1">IFERROR(CIQAVG(MO.Ticker.CapIQ,"IQ_LASTSALEPRICE",INDEX(MO_SNA_FPStartDate,0,COLUMN()),INDEX(MO_Common_QEndDate,0,COLUMN())),"N/A")</f>
        <v>N/A</v>
      </c>
      <c r="AJ870" s="412" t="str">
        <f ca="1">IFERROR(CIQAVG(MO.Ticker.CapIQ,"IQ_LASTSALEPRICE",INDEX(MO_SNA_FPStartDate,0,COLUMN()),INDEX(MO_Common_QEndDate,0,COLUMN())),"N/A")</f>
        <v>N/A</v>
      </c>
      <c r="AK870" s="412" t="str">
        <f ca="1">IFERROR(CIQAVG(MO.Ticker.CapIQ,"IQ_LASTSALEPRICE",INDEX(MO_SNA_FPStartDate,0,COLUMN()),INDEX(MO_Common_QEndDate,0,COLUMN())),"N/A")</f>
        <v>N/A</v>
      </c>
      <c r="AL870" s="412" t="str">
        <f ca="1">IFERROR(CIQAVG(MO.Ticker.CapIQ,"IQ_LASTSALEPRICE",INDEX(MO_SNA_FPStartDate,0,COLUMN()),INDEX(MO_Common_QEndDate,0,COLUMN())),"N/A")</f>
        <v>N/A</v>
      </c>
      <c r="AM870" s="412" t="str">
        <f ca="1">IFERROR(CIQAVG(MO.Ticker.CapIQ,"IQ_LASTSALEPRICE",INDEX(MO_SNA_FPStartDate,0,COLUMN()),INDEX(MO_Common_QEndDate,0,COLUMN())),"N/A")</f>
        <v>N/A</v>
      </c>
      <c r="AN870" s="412" t="str">
        <f ca="1">IFERROR(CIQAVG(MO.Ticker.CapIQ,"IQ_LASTSALEPRICE",INDEX(MO_SNA_FPStartDate,0,COLUMN()),INDEX(MO_Common_QEndDate,0,COLUMN())),"N/A")</f>
        <v>N/A</v>
      </c>
      <c r="AO870" s="412" t="str">
        <f ca="1">IFERROR(CIQAVG(MO.Ticker.CapIQ,"IQ_LASTSALEPRICE",INDEX(MO_SNA_FPStartDate,0,COLUMN()),INDEX(MO_Common_QEndDate,0,COLUMN())),"N/A")</f>
        <v>N/A</v>
      </c>
      <c r="AP870" s="412" t="str">
        <f ca="1">IFERROR(CIQAVG(MO.Ticker.CapIQ,"IQ_LASTSALEPRICE",INDEX(MO_SNA_FPStartDate,0,COLUMN()),INDEX(MO_Common_QEndDate,0,COLUMN())),"N/A")</f>
        <v>N/A</v>
      </c>
      <c r="AQ870" s="412" t="str">
        <f ca="1">IFERROR(CIQAVG(MO.Ticker.CapIQ,"IQ_LASTSALEPRICE",INDEX(MO_SNA_FPStartDate,0,COLUMN()),INDEX(MO_Common_QEndDate,0,COLUMN())),"N/A")</f>
        <v>N/A</v>
      </c>
      <c r="AR870" s="412" t="str">
        <f ca="1">IFERROR(CIQAVG(MO.Ticker.CapIQ,"IQ_LASTSALEPRICE",INDEX(MO_SNA_FPStartDate,0,COLUMN()),INDEX(MO_Common_QEndDate,0,COLUMN())),"N/A")</f>
        <v>N/A</v>
      </c>
      <c r="AS870" s="412" t="str">
        <f ca="1">IFERROR(CIQAVG(MO.Ticker.CapIQ,"IQ_LASTSALEPRICE",INDEX(MO_SNA_FPStartDate,0,COLUMN()),INDEX(MO_Common_QEndDate,0,COLUMN())),"N/A")</f>
        <v>N/A</v>
      </c>
      <c r="AT870" s="412" t="str">
        <f ca="1">IFERROR(CIQAVG(MO.Ticker.CapIQ,"IQ_LASTSALEPRICE",INDEX(MO_SNA_FPStartDate,0,COLUMN()),INDEX(MO_Common_QEndDate,0,COLUMN())),"N/A")</f>
        <v>N/A</v>
      </c>
      <c r="AU870" s="412" t="str">
        <f ca="1">IFERROR(CIQAVG(MO.Ticker.CapIQ,"IQ_LASTSALEPRICE",INDEX(MO_SNA_FPStartDate,0,COLUMN()),INDEX(MO_Common_QEndDate,0,COLUMN())),"N/A")</f>
        <v>N/A</v>
      </c>
      <c r="AV870" s="412" t="str">
        <f ca="1">IFERROR(CIQAVG(MO.Ticker.CapIQ,"IQ_LASTSALEPRICE",INDEX(MO_SNA_FPStartDate,0,COLUMN()),INDEX(MO_Common_QEndDate,0,COLUMN())),"N/A")</f>
        <v>N/A</v>
      </c>
      <c r="AW870" s="752" t="str">
        <f ca="1">IFERROR(CIQAVG(MO.Ticker.CapIQ,"IQ_LASTSALEPRICE",INDEX(MO_SNA_FPStartDate,0,COLUMN()),INDEX(MO_Common_QEndDate,0,COLUMN())),"N/A")</f>
        <v>N/A</v>
      </c>
      <c r="AX870" s="412" t="str">
        <f ca="1">IFERROR(CIQAVG(MO.Ticker.CapIQ,"IQ_LASTSALEPRICE",INDEX(MO_SNA_FPStartDate,0,COLUMN()),INDEX(MO_Common_QEndDate,0,COLUMN())),"N/A")</f>
        <v>N/A</v>
      </c>
      <c r="AY870" s="412" t="str">
        <f ca="1">IFERROR(CIQAVG(MO.Ticker.CapIQ,"IQ_LASTSALEPRICE",INDEX(MO_SNA_FPStartDate,0,COLUMN()),INDEX(MO_Common_QEndDate,0,COLUMN())),"N/A")</f>
        <v>N/A</v>
      </c>
      <c r="AZ870" s="412" t="str">
        <f ca="1">IFERROR(CIQAVG(MO.Ticker.CapIQ,"IQ_LASTSALEPRICE",INDEX(MO_SNA_FPStartDate,0,COLUMN()),INDEX(MO_Common_QEndDate,0,COLUMN())),"N/A")</f>
        <v>N/A</v>
      </c>
      <c r="BA870" s="412" t="str">
        <f ca="1">IFERROR(CIQAVG(MO.Ticker.CapIQ,"IQ_LASTSALEPRICE",INDEX(MO_SNA_FPStartDate,0,COLUMN()),INDEX(MO_Common_QEndDate,0,COLUMN())),"N/A")</f>
        <v>N/A</v>
      </c>
      <c r="BB870" s="412" t="str">
        <f ca="1">IFERROR(CIQAVG(MO.Ticker.CapIQ,"IQ_LASTSALEPRICE",INDEX(MO_SNA_FPStartDate,0,COLUMN()),INDEX(MO_Common_QEndDate,0,COLUMN())),"N/A")</f>
        <v>N/A</v>
      </c>
      <c r="BC870" s="412" t="str">
        <f ca="1">IFERROR(CIQAVG(MO.Ticker.CapIQ,"IQ_LASTSALEPRICE",INDEX(MO_SNA_FPStartDate,0,COLUMN()),INDEX(MO_Common_QEndDate,0,COLUMN())),"N/A")</f>
        <v>N/A</v>
      </c>
      <c r="BD870" s="412" t="str">
        <f ca="1">IFERROR(CIQAVG(MO.Ticker.CapIQ,"IQ_LASTSALEPRICE",INDEX(MO_SNA_FPStartDate,0,COLUMN()),INDEX(MO_Common_QEndDate,0,COLUMN())),"N/A")</f>
        <v>N/A</v>
      </c>
      <c r="BE870" s="412" t="str">
        <f ca="1">IFERROR(CIQAVG(MO.Ticker.CapIQ,"IQ_LASTSALEPRICE",INDEX(MO_SNA_FPStartDate,0,COLUMN()),INDEX(MO_Common_QEndDate,0,COLUMN())),"N/A")</f>
        <v>N/A</v>
      </c>
      <c r="BF870" s="412" t="str">
        <f ca="1">IFERROR(CIQAVG(MO.Ticker.CapIQ,"IQ_LASTSALEPRICE",INDEX(MO_SNA_FPStartDate,0,COLUMN()),INDEX(MO_Common_QEndDate,0,COLUMN())),"N/A")</f>
        <v>N/A</v>
      </c>
      <c r="BG870" s="412" t="str">
        <f ca="1">IFERROR(CIQAVG(MO.Ticker.CapIQ,"IQ_LASTSALEPRICE",INDEX(MO_SNA_FPStartDate,0,COLUMN()),INDEX(MO_Common_QEndDate,0,COLUMN())),"N/A")</f>
        <v>N/A</v>
      </c>
      <c r="BH870" s="476"/>
    </row>
    <row r="871" spans="1:60" s="415" customFormat="1" hidden="1" outlineLevel="1" x14ac:dyDescent="0.25">
      <c r="A871" s="416" t="s">
        <v>334</v>
      </c>
      <c r="B871" s="412"/>
      <c r="C871" s="413" t="str">
        <f ca="1">IFERROR(FDS(MO.Ticker.FactSet,"P_PRICE_AVG"&amp;"("&amp;INDEX(MO_SNA_FPStartDate,0,COLUMN())&amp;","&amp;INDEX(MO_Common_QEndDate,0,COLUMN())&amp;",,,,""PRICE"",""CLOSE"")"),"N/A")</f>
        <v>N/A</v>
      </c>
      <c r="D871" s="413" t="str">
        <f ca="1">IFERROR(FDS(MO.Ticker.FactSet,"P_PRICE_AVG"&amp;"("&amp;INDEX(MO_SNA_FPStartDate,0,COLUMN())&amp;","&amp;INDEX(MO_Common_QEndDate,0,COLUMN())&amp;",,,,""PRICE"",""CLOSE"")"),"N/A")</f>
        <v>N/A</v>
      </c>
      <c r="E871" s="412" t="str">
        <f ca="1">IFERROR(FDS(MO.Ticker.FactSet,"P_PRICE_AVG"&amp;"("&amp;INDEX(MO_SNA_FPStartDate,0,COLUMN())&amp;","&amp;INDEX(MO_Common_QEndDate,0,COLUMN())&amp;",,,,""PRICE"",""CLOSE"")"),"N/A")</f>
        <v>N/A</v>
      </c>
      <c r="F871" s="412" t="str">
        <f ca="1">IFERROR(FDS(MO.Ticker.FactSet,"P_PRICE_AVG"&amp;"("&amp;INDEX(MO_SNA_FPStartDate,0,COLUMN())&amp;","&amp;INDEX(MO_Common_QEndDate,0,COLUMN())&amp;",,,,""PRICE"",""CLOSE"")"),"N/A")</f>
        <v>N/A</v>
      </c>
      <c r="G871" s="412" t="str">
        <f ca="1">IFERROR(FDS(MO.Ticker.FactSet,"P_PRICE_AVG"&amp;"("&amp;INDEX(MO_SNA_FPStartDate,0,COLUMN())&amp;","&amp;INDEX(MO_Common_QEndDate,0,COLUMN())&amp;",,,,""PRICE"",""CLOSE"")"),"N/A")</f>
        <v>N/A</v>
      </c>
      <c r="H871" s="412" t="str">
        <f ca="1">IFERROR(FDS(MO.Ticker.FactSet,"P_PRICE_AVG"&amp;"("&amp;INDEX(MO_SNA_FPStartDate,0,COLUMN())&amp;","&amp;INDEX(MO_Common_QEndDate,0,COLUMN())&amp;",,,,""PRICE"",""CLOSE"")"),"N/A")</f>
        <v>N/A</v>
      </c>
      <c r="I871" s="412" t="str">
        <f ca="1">IFERROR(FDS(MO.Ticker.FactSet,"P_PRICE_AVG"&amp;"("&amp;INDEX(MO_SNA_FPStartDate,0,COLUMN())&amp;","&amp;INDEX(MO_Common_QEndDate,0,COLUMN())&amp;",,,,""PRICE"",""CLOSE"")"),"N/A")</f>
        <v>N/A</v>
      </c>
      <c r="J871" s="412" t="str">
        <f ca="1">IFERROR(FDS(MO.Ticker.FactSet,"P_PRICE_AVG"&amp;"("&amp;INDEX(MO_SNA_FPStartDate,0,COLUMN())&amp;","&amp;INDEX(MO_Common_QEndDate,0,COLUMN())&amp;",,,,""PRICE"",""CLOSE"")"),"N/A")</f>
        <v>N/A</v>
      </c>
      <c r="K871" s="412" t="str">
        <f ca="1">IFERROR(FDS(MO.Ticker.FactSet,"P_PRICE_AVG"&amp;"("&amp;INDEX(MO_SNA_FPStartDate,0,COLUMN())&amp;","&amp;INDEX(MO_Common_QEndDate,0,COLUMN())&amp;",,,,""PRICE"",""CLOSE"")"),"N/A")</f>
        <v>N/A</v>
      </c>
      <c r="L871" s="412" t="str">
        <f ca="1">IFERROR(FDS(MO.Ticker.FactSet,"P_PRICE_AVG"&amp;"("&amp;INDEX(MO_SNA_FPStartDate,0,COLUMN())&amp;","&amp;INDEX(MO_Common_QEndDate,0,COLUMN())&amp;",,,,""PRICE"",""CLOSE"")"),"N/A")</f>
        <v>N/A</v>
      </c>
      <c r="M871" s="412" t="str">
        <f ca="1">IFERROR(FDS(MO.Ticker.FactSet,"P_PRICE_AVG"&amp;"("&amp;INDEX(MO_SNA_FPStartDate,0,COLUMN())&amp;","&amp;INDEX(MO_Common_QEndDate,0,COLUMN())&amp;",,,,""PRICE"",""CLOSE"")"),"N/A")</f>
        <v>N/A</v>
      </c>
      <c r="N871" s="412" t="str">
        <f ca="1">IFERROR(FDS(MO.Ticker.FactSet,"P_PRICE_AVG"&amp;"("&amp;INDEX(MO_SNA_FPStartDate,0,COLUMN())&amp;","&amp;INDEX(MO_Common_QEndDate,0,COLUMN())&amp;",,,,""PRICE"",""CLOSE"")"),"N/A")</f>
        <v>N/A</v>
      </c>
      <c r="O871" s="412" t="str">
        <f ca="1">IFERROR(FDS(MO.Ticker.FactSet,"P_PRICE_AVG"&amp;"("&amp;INDEX(MO_SNA_FPStartDate,0,COLUMN())&amp;","&amp;INDEX(MO_Common_QEndDate,0,COLUMN())&amp;",,,,""PRICE"",""CLOSE"")"),"N/A")</f>
        <v>N/A</v>
      </c>
      <c r="P871" s="412" t="str">
        <f ca="1">IFERROR(FDS(MO.Ticker.FactSet,"P_PRICE_AVG"&amp;"("&amp;INDEX(MO_SNA_FPStartDate,0,COLUMN())&amp;","&amp;INDEX(MO_Common_QEndDate,0,COLUMN())&amp;",,,,""PRICE"",""CLOSE"")"),"N/A")</f>
        <v>N/A</v>
      </c>
      <c r="Q871" s="412" t="str">
        <f ca="1">IFERROR(FDS(MO.Ticker.FactSet,"P_PRICE_AVG"&amp;"("&amp;INDEX(MO_SNA_FPStartDate,0,COLUMN())&amp;","&amp;INDEX(MO_Common_QEndDate,0,COLUMN())&amp;",,,,""PRICE"",""CLOSE"")"),"N/A")</f>
        <v>N/A</v>
      </c>
      <c r="R871" s="412" t="str">
        <f ca="1">IFERROR(FDS(MO.Ticker.FactSet,"P_PRICE_AVG"&amp;"("&amp;INDEX(MO_SNA_FPStartDate,0,COLUMN())&amp;","&amp;INDEX(MO_Common_QEndDate,0,COLUMN())&amp;",,,,""PRICE"",""CLOSE"")"),"N/A")</f>
        <v>N/A</v>
      </c>
      <c r="S871" s="412" t="str">
        <f ca="1">IFERROR(FDS(MO.Ticker.FactSet,"P_PRICE_AVG"&amp;"("&amp;INDEX(MO_SNA_FPStartDate,0,COLUMN())&amp;","&amp;INDEX(MO_Common_QEndDate,0,COLUMN())&amp;",,,,""PRICE"",""CLOSE"")"),"N/A")</f>
        <v>N/A</v>
      </c>
      <c r="T871" s="412" t="str">
        <f ca="1">IFERROR(FDS(MO.Ticker.FactSet,"P_PRICE_AVG"&amp;"("&amp;INDEX(MO_SNA_FPStartDate,0,COLUMN())&amp;","&amp;INDEX(MO_Common_QEndDate,0,COLUMN())&amp;",,,,""PRICE"",""CLOSE"")"),"N/A")</f>
        <v>N/A</v>
      </c>
      <c r="U871" s="412" t="str">
        <f ca="1">IFERROR(FDS(MO.Ticker.FactSet,"P_PRICE_AVG"&amp;"("&amp;INDEX(MO_SNA_FPStartDate,0,COLUMN())&amp;","&amp;INDEX(MO_Common_QEndDate,0,COLUMN())&amp;",,,,""PRICE"",""CLOSE"")"),"N/A")</f>
        <v>N/A</v>
      </c>
      <c r="V871" s="412" t="str">
        <f ca="1">IFERROR(FDS(MO.Ticker.FactSet,"P_PRICE_AVG"&amp;"("&amp;INDEX(MO_SNA_FPStartDate,0,COLUMN())&amp;","&amp;INDEX(MO_Common_QEndDate,0,COLUMN())&amp;",,,,""PRICE"",""CLOSE"")"),"N/A")</f>
        <v>N/A</v>
      </c>
      <c r="W871" s="412" t="str">
        <f ca="1">IFERROR(FDS(MO.Ticker.FactSet,"P_PRICE_AVG"&amp;"("&amp;INDEX(MO_SNA_FPStartDate,0,COLUMN())&amp;","&amp;INDEX(MO_Common_QEndDate,0,COLUMN())&amp;",,,,""PRICE"",""CLOSE"")"),"N/A")</f>
        <v>N/A</v>
      </c>
      <c r="X871" s="412" t="str">
        <f ca="1">IFERROR(FDS(MO.Ticker.FactSet,"P_PRICE_AVG"&amp;"("&amp;INDEX(MO_SNA_FPStartDate,0,COLUMN())&amp;","&amp;INDEX(MO_Common_QEndDate,0,COLUMN())&amp;",,,,""PRICE"",""CLOSE"")"),"N/A")</f>
        <v>N/A</v>
      </c>
      <c r="Y871" s="412" t="str">
        <f ca="1">IFERROR(FDS(MO.Ticker.FactSet,"P_PRICE_AVG"&amp;"("&amp;INDEX(MO_SNA_FPStartDate,0,COLUMN())&amp;","&amp;INDEX(MO_Common_QEndDate,0,COLUMN())&amp;",,,,""PRICE"",""CLOSE"")"),"N/A")</f>
        <v>N/A</v>
      </c>
      <c r="Z871" s="412" t="str">
        <f ca="1">IFERROR(FDS(MO.Ticker.FactSet,"P_PRICE_AVG"&amp;"("&amp;INDEX(MO_SNA_FPStartDate,0,COLUMN())&amp;","&amp;INDEX(MO_Common_QEndDate,0,COLUMN())&amp;",,,,""PRICE"",""CLOSE"")"),"N/A")</f>
        <v>N/A</v>
      </c>
      <c r="AA871" s="412" t="str">
        <f ca="1">IFERROR(FDS(MO.Ticker.FactSet,"P_PRICE_AVG"&amp;"("&amp;INDEX(MO_SNA_FPStartDate,0,COLUMN())&amp;","&amp;INDEX(MO_Common_QEndDate,0,COLUMN())&amp;",,,,""PRICE"",""CLOSE"")"),"N/A")</f>
        <v>N/A</v>
      </c>
      <c r="AB871" s="412" t="str">
        <f ca="1">IFERROR(FDS(MO.Ticker.FactSet,"P_PRICE_AVG"&amp;"("&amp;INDEX(MO_SNA_FPStartDate,0,COLUMN())&amp;","&amp;INDEX(MO_Common_QEndDate,0,COLUMN())&amp;",,,,""PRICE"",""CLOSE"")"),"N/A")</f>
        <v>N/A</v>
      </c>
      <c r="AC871" s="412" t="str">
        <f ca="1">IFERROR(FDS(MO.Ticker.FactSet,"P_PRICE_AVG"&amp;"("&amp;INDEX(MO_SNA_FPStartDate,0,COLUMN())&amp;","&amp;INDEX(MO_Common_QEndDate,0,COLUMN())&amp;",,,,""PRICE"",""CLOSE"")"),"N/A")</f>
        <v>N/A</v>
      </c>
      <c r="AD871" s="412" t="str">
        <f ca="1">IFERROR(FDS(MO.Ticker.FactSet,"P_PRICE_AVG"&amp;"("&amp;INDEX(MO_SNA_FPStartDate,0,COLUMN())&amp;","&amp;INDEX(MO_Common_QEndDate,0,COLUMN())&amp;",,,,""PRICE"",""CLOSE"")"),"N/A")</f>
        <v>N/A</v>
      </c>
      <c r="AE871" s="412" t="str">
        <f ca="1">IFERROR(FDS(MO.Ticker.FactSet,"P_PRICE_AVG"&amp;"("&amp;INDEX(MO_SNA_FPStartDate,0,COLUMN())&amp;","&amp;INDEX(MO_Common_QEndDate,0,COLUMN())&amp;",,,,""PRICE"",""CLOSE"")"),"N/A")</f>
        <v>N/A</v>
      </c>
      <c r="AF871" s="412" t="str">
        <f ca="1">IFERROR(FDS(MO.Ticker.FactSet,"P_PRICE_AVG"&amp;"("&amp;INDEX(MO_SNA_FPStartDate,0,COLUMN())&amp;","&amp;INDEX(MO_Common_QEndDate,0,COLUMN())&amp;",,,,""PRICE"",""CLOSE"")"),"N/A")</f>
        <v>N/A</v>
      </c>
      <c r="AG871" s="412" t="str">
        <f ca="1">IFERROR(FDS(MO.Ticker.FactSet,"P_PRICE_AVG"&amp;"("&amp;INDEX(MO_SNA_FPStartDate,0,COLUMN())&amp;","&amp;INDEX(MO_Common_QEndDate,0,COLUMN())&amp;",,,,""PRICE"",""CLOSE"")"),"N/A")</f>
        <v>N/A</v>
      </c>
      <c r="AH871" s="412" t="str">
        <f ca="1">IFERROR(FDS(MO.Ticker.FactSet,"P_PRICE_AVG"&amp;"("&amp;INDEX(MO_SNA_FPStartDate,0,COLUMN())&amp;","&amp;INDEX(MO_Common_QEndDate,0,COLUMN())&amp;",,,,""PRICE"",""CLOSE"")"),"N/A")</f>
        <v>N/A</v>
      </c>
      <c r="AI871" s="412" t="str">
        <f ca="1">IFERROR(FDS(MO.Ticker.FactSet,"P_PRICE_AVG"&amp;"("&amp;INDEX(MO_SNA_FPStartDate,0,COLUMN())&amp;","&amp;INDEX(MO_Common_QEndDate,0,COLUMN())&amp;",,,,""PRICE"",""CLOSE"")"),"N/A")</f>
        <v>N/A</v>
      </c>
      <c r="AJ871" s="412" t="str">
        <f ca="1">IFERROR(FDS(MO.Ticker.FactSet,"P_PRICE_AVG"&amp;"("&amp;INDEX(MO_SNA_FPStartDate,0,COLUMN())&amp;","&amp;INDEX(MO_Common_QEndDate,0,COLUMN())&amp;",,,,""PRICE"",""CLOSE"")"),"N/A")</f>
        <v>N/A</v>
      </c>
      <c r="AK871" s="412" t="str">
        <f ca="1">IFERROR(FDS(MO.Ticker.FactSet,"P_PRICE_AVG"&amp;"("&amp;INDEX(MO_SNA_FPStartDate,0,COLUMN())&amp;","&amp;INDEX(MO_Common_QEndDate,0,COLUMN())&amp;",,,,""PRICE"",""CLOSE"")"),"N/A")</f>
        <v>N/A</v>
      </c>
      <c r="AL871" s="412" t="str">
        <f ca="1">IFERROR(FDS(MO.Ticker.FactSet,"P_PRICE_AVG"&amp;"("&amp;INDEX(MO_SNA_FPStartDate,0,COLUMN())&amp;","&amp;INDEX(MO_Common_QEndDate,0,COLUMN())&amp;",,,,""PRICE"",""CLOSE"")"),"N/A")</f>
        <v>N/A</v>
      </c>
      <c r="AM871" s="412" t="str">
        <f ca="1">IFERROR(FDS(MO.Ticker.FactSet,"P_PRICE_AVG"&amp;"("&amp;INDEX(MO_SNA_FPStartDate,0,COLUMN())&amp;","&amp;INDEX(MO_Common_QEndDate,0,COLUMN())&amp;",,,,""PRICE"",""CLOSE"")"),"N/A")</f>
        <v>N/A</v>
      </c>
      <c r="AN871" s="412" t="str">
        <f ca="1">IFERROR(FDS(MO.Ticker.FactSet,"P_PRICE_AVG"&amp;"("&amp;INDEX(MO_SNA_FPStartDate,0,COLUMN())&amp;","&amp;INDEX(MO_Common_QEndDate,0,COLUMN())&amp;",,,,""PRICE"",""CLOSE"")"),"N/A")</f>
        <v>N/A</v>
      </c>
      <c r="AO871" s="412" t="str">
        <f ca="1">IFERROR(FDS(MO.Ticker.FactSet,"P_PRICE_AVG"&amp;"("&amp;INDEX(MO_SNA_FPStartDate,0,COLUMN())&amp;","&amp;INDEX(MO_Common_QEndDate,0,COLUMN())&amp;",,,,""PRICE"",""CLOSE"")"),"N/A")</f>
        <v>N/A</v>
      </c>
      <c r="AP871" s="412" t="str">
        <f ca="1">IFERROR(FDS(MO.Ticker.FactSet,"P_PRICE_AVG"&amp;"("&amp;INDEX(MO_SNA_FPStartDate,0,COLUMN())&amp;","&amp;INDEX(MO_Common_QEndDate,0,COLUMN())&amp;",,,,""PRICE"",""CLOSE"")"),"N/A")</f>
        <v>N/A</v>
      </c>
      <c r="AQ871" s="412" t="str">
        <f ca="1">IFERROR(FDS(MO.Ticker.FactSet,"P_PRICE_AVG"&amp;"("&amp;INDEX(MO_SNA_FPStartDate,0,COLUMN())&amp;","&amp;INDEX(MO_Common_QEndDate,0,COLUMN())&amp;",,,,""PRICE"",""CLOSE"")"),"N/A")</f>
        <v>N/A</v>
      </c>
      <c r="AR871" s="412" t="str">
        <f ca="1">IFERROR(FDS(MO.Ticker.FactSet,"P_PRICE_AVG"&amp;"("&amp;INDEX(MO_SNA_FPStartDate,0,COLUMN())&amp;","&amp;INDEX(MO_Common_QEndDate,0,COLUMN())&amp;",,,,""PRICE"",""CLOSE"")"),"N/A")</f>
        <v>N/A</v>
      </c>
      <c r="AS871" s="412" t="str">
        <f ca="1">IFERROR(FDS(MO.Ticker.FactSet,"P_PRICE_AVG"&amp;"("&amp;INDEX(MO_SNA_FPStartDate,0,COLUMN())&amp;","&amp;INDEX(MO_Common_QEndDate,0,COLUMN())&amp;",,,,""PRICE"",""CLOSE"")"),"N/A")</f>
        <v>N/A</v>
      </c>
      <c r="AT871" s="412" t="str">
        <f ca="1">IFERROR(FDS(MO.Ticker.FactSet,"P_PRICE_AVG"&amp;"("&amp;INDEX(MO_SNA_FPStartDate,0,COLUMN())&amp;","&amp;INDEX(MO_Common_QEndDate,0,COLUMN())&amp;",,,,""PRICE"",""CLOSE"")"),"N/A")</f>
        <v>N/A</v>
      </c>
      <c r="AU871" s="412" t="str">
        <f ca="1">IFERROR(FDS(MO.Ticker.FactSet,"P_PRICE_AVG"&amp;"("&amp;INDEX(MO_SNA_FPStartDate,0,COLUMN())&amp;","&amp;INDEX(MO_Common_QEndDate,0,COLUMN())&amp;",,,,""PRICE"",""CLOSE"")"),"N/A")</f>
        <v>N/A</v>
      </c>
      <c r="AV871" s="412" t="str">
        <f ca="1">IFERROR(FDS(MO.Ticker.FactSet,"P_PRICE_AVG"&amp;"("&amp;INDEX(MO_SNA_FPStartDate,0,COLUMN())&amp;","&amp;INDEX(MO_Common_QEndDate,0,COLUMN())&amp;",,,,""PRICE"",""CLOSE"")"),"N/A")</f>
        <v>N/A</v>
      </c>
      <c r="AW871" s="752" t="str">
        <f ca="1">IFERROR(FDS(MO.Ticker.FactSet,"P_PRICE_AVG"&amp;"("&amp;INDEX(MO_SNA_FPStartDate,0,COLUMN())&amp;","&amp;INDEX(MO_Common_QEndDate,0,COLUMN())&amp;",,,,""PRICE"",""CLOSE"")"),"N/A")</f>
        <v>N/A</v>
      </c>
      <c r="AX871" s="412" t="str">
        <f ca="1">IFERROR(FDS(MO.Ticker.FactSet,"P_PRICE_AVG"&amp;"("&amp;INDEX(MO_SNA_FPStartDate,0,COLUMN())&amp;","&amp;INDEX(MO_Common_QEndDate,0,COLUMN())&amp;",,,,""PRICE"",""CLOSE"")"),"N/A")</f>
        <v>N/A</v>
      </c>
      <c r="AY871" s="412" t="str">
        <f ca="1">IFERROR(FDS(MO.Ticker.FactSet,"P_PRICE_AVG"&amp;"("&amp;INDEX(MO_SNA_FPStartDate,0,COLUMN())&amp;","&amp;INDEX(MO_Common_QEndDate,0,COLUMN())&amp;",,,,""PRICE"",""CLOSE"")"),"N/A")</f>
        <v>N/A</v>
      </c>
      <c r="AZ871" s="412" t="str">
        <f ca="1">IFERROR(FDS(MO.Ticker.FactSet,"P_PRICE_AVG"&amp;"("&amp;INDEX(MO_SNA_FPStartDate,0,COLUMN())&amp;","&amp;INDEX(MO_Common_QEndDate,0,COLUMN())&amp;",,,,""PRICE"",""CLOSE"")"),"N/A")</f>
        <v>N/A</v>
      </c>
      <c r="BA871" s="412" t="str">
        <f ca="1">IFERROR(FDS(MO.Ticker.FactSet,"P_PRICE_AVG"&amp;"("&amp;INDEX(MO_SNA_FPStartDate,0,COLUMN())&amp;","&amp;INDEX(MO_Common_QEndDate,0,COLUMN())&amp;",,,,""PRICE"",""CLOSE"")"),"N/A")</f>
        <v>N/A</v>
      </c>
      <c r="BB871" s="412" t="str">
        <f ca="1">IFERROR(FDS(MO.Ticker.FactSet,"P_PRICE_AVG"&amp;"("&amp;INDEX(MO_SNA_FPStartDate,0,COLUMN())&amp;","&amp;INDEX(MO_Common_QEndDate,0,COLUMN())&amp;",,,,""PRICE"",""CLOSE"")"),"N/A")</f>
        <v>N/A</v>
      </c>
      <c r="BC871" s="412" t="str">
        <f ca="1">IFERROR(FDS(MO.Ticker.FactSet,"P_PRICE_AVG"&amp;"("&amp;INDEX(MO_SNA_FPStartDate,0,COLUMN())&amp;","&amp;INDEX(MO_Common_QEndDate,0,COLUMN())&amp;",,,,""PRICE"",""CLOSE"")"),"N/A")</f>
        <v>N/A</v>
      </c>
      <c r="BD871" s="412" t="str">
        <f ca="1">IFERROR(FDS(MO.Ticker.FactSet,"P_PRICE_AVG"&amp;"("&amp;INDEX(MO_SNA_FPStartDate,0,COLUMN())&amp;","&amp;INDEX(MO_Common_QEndDate,0,COLUMN())&amp;",,,,""PRICE"",""CLOSE"")"),"N/A")</f>
        <v>N/A</v>
      </c>
      <c r="BE871" s="412" t="str">
        <f ca="1">IFERROR(FDS(MO.Ticker.FactSet,"P_PRICE_AVG"&amp;"("&amp;INDEX(MO_SNA_FPStartDate,0,COLUMN())&amp;","&amp;INDEX(MO_Common_QEndDate,0,COLUMN())&amp;",,,,""PRICE"",""CLOSE"")"),"N/A")</f>
        <v>N/A</v>
      </c>
      <c r="BF871" s="412" t="str">
        <f ca="1">IFERROR(FDS(MO.Ticker.FactSet,"P_PRICE_AVG"&amp;"("&amp;INDEX(MO_SNA_FPStartDate,0,COLUMN())&amp;","&amp;INDEX(MO_Common_QEndDate,0,COLUMN())&amp;",,,,""PRICE"",""CLOSE"")"),"N/A")</f>
        <v>N/A</v>
      </c>
      <c r="BG871" s="412" t="str">
        <f ca="1">IFERROR(FDS(MO.Ticker.FactSet,"P_PRICE_AVG"&amp;"("&amp;INDEX(MO_SNA_FPStartDate,0,COLUMN())&amp;","&amp;INDEX(MO_Common_QEndDate,0,COLUMN())&amp;",,,,""PRICE"",""CLOSE"")"),"N/A")</f>
        <v>N/A</v>
      </c>
      <c r="BH871" s="476"/>
    </row>
    <row r="872" spans="1:60" s="415" customFormat="1" hidden="1" outlineLevel="1" x14ac:dyDescent="0.25">
      <c r="A872" s="416" t="s">
        <v>567</v>
      </c>
      <c r="B872" s="412"/>
      <c r="C872" s="413" t="str">
        <f>IFERROR(_xll.TR(MO.Ticker.Thomson,"AVG(TR.Priceclose)","sdate:#1 edate:#2",,INDEX(MO_SNA_FPStartDate,0,COLUMN()),INDEX(MO_Common_QEndDate,0,COLUMN())),"N/A")</f>
        <v>Not Signed In</v>
      </c>
      <c r="D872" s="413" t="str">
        <f>IFERROR(_xll.TR(MO.Ticker.Thomson,"AVG(TR.Priceclose)","sdate:#1 edate:#2",,INDEX(MO_SNA_FPStartDate,0,COLUMN()),INDEX(MO_Common_QEndDate,0,COLUMN())),"N/A")</f>
        <v>Not Signed In</v>
      </c>
      <c r="E872" s="412" t="str">
        <f>IFERROR(_xll.TR(MO.Ticker.Thomson,"AVG(TR.Priceclose)","sdate:#1 edate:#2",,INDEX(MO_SNA_FPStartDate,0,COLUMN()),INDEX(MO_Common_QEndDate,0,COLUMN())),"N/A")</f>
        <v>Not Signed In</v>
      </c>
      <c r="F872" s="412" t="str">
        <f>IFERROR(_xll.TR(MO.Ticker.Thomson,"AVG(TR.Priceclose)","sdate:#1 edate:#2",,INDEX(MO_SNA_FPStartDate,0,COLUMN()),INDEX(MO_Common_QEndDate,0,COLUMN())),"N/A")</f>
        <v>Not Signed In</v>
      </c>
      <c r="G872" s="412" t="str">
        <f>IFERROR(_xll.TR(MO.Ticker.Thomson,"AVG(TR.Priceclose)","sdate:#1 edate:#2",,INDEX(MO_SNA_FPStartDate,0,COLUMN()),INDEX(MO_Common_QEndDate,0,COLUMN())),"N/A")</f>
        <v>Not Signed In</v>
      </c>
      <c r="H872" s="412" t="str">
        <f>IFERROR(_xll.TR(MO.Ticker.Thomson,"AVG(TR.Priceclose)","sdate:#1 edate:#2",,INDEX(MO_SNA_FPStartDate,0,COLUMN()),INDEX(MO_Common_QEndDate,0,COLUMN())),"N/A")</f>
        <v>Not Signed In</v>
      </c>
      <c r="I872" s="412" t="str">
        <f>IFERROR(_xll.TR(MO.Ticker.Thomson,"AVG(TR.Priceclose)","sdate:#1 edate:#2",,INDEX(MO_SNA_FPStartDate,0,COLUMN()),INDEX(MO_Common_QEndDate,0,COLUMN())),"N/A")</f>
        <v>Not Signed In</v>
      </c>
      <c r="J872" s="412" t="str">
        <f>IFERROR(_xll.TR(MO.Ticker.Thomson,"AVG(TR.Priceclose)","sdate:#1 edate:#2",,INDEX(MO_SNA_FPStartDate,0,COLUMN()),INDEX(MO_Common_QEndDate,0,COLUMN())),"N/A")</f>
        <v>Not Signed In</v>
      </c>
      <c r="K872" s="412" t="str">
        <f>IFERROR(_xll.TR(MO.Ticker.Thomson,"AVG(TR.Priceclose)","sdate:#1 edate:#2",,INDEX(MO_SNA_FPStartDate,0,COLUMN()),INDEX(MO_Common_QEndDate,0,COLUMN())),"N/A")</f>
        <v>Not Signed In</v>
      </c>
      <c r="L872" s="412" t="str">
        <f>IFERROR(_xll.TR(MO.Ticker.Thomson,"AVG(TR.Priceclose)","sdate:#1 edate:#2",,INDEX(MO_SNA_FPStartDate,0,COLUMN()),INDEX(MO_Common_QEndDate,0,COLUMN())),"N/A")</f>
        <v>Not Signed In</v>
      </c>
      <c r="M872" s="412" t="str">
        <f>IFERROR(_xll.TR(MO.Ticker.Thomson,"AVG(TR.Priceclose)","sdate:#1 edate:#2",,INDEX(MO_SNA_FPStartDate,0,COLUMN()),INDEX(MO_Common_QEndDate,0,COLUMN())),"N/A")</f>
        <v>Not Signed In</v>
      </c>
      <c r="N872" s="412" t="str">
        <f>IFERROR(_xll.TR(MO.Ticker.Thomson,"AVG(TR.Priceclose)","sdate:#1 edate:#2",,INDEX(MO_SNA_FPStartDate,0,COLUMN()),INDEX(MO_Common_QEndDate,0,COLUMN())),"N/A")</f>
        <v>Not Signed In</v>
      </c>
      <c r="O872" s="412" t="str">
        <f>IFERROR(_xll.TR(MO.Ticker.Thomson,"AVG(TR.Priceclose)","sdate:#1 edate:#2",,INDEX(MO_SNA_FPStartDate,0,COLUMN()),INDEX(MO_Common_QEndDate,0,COLUMN())),"N/A")</f>
        <v>Not Signed In</v>
      </c>
      <c r="P872" s="412" t="str">
        <f>IFERROR(_xll.TR(MO.Ticker.Thomson,"AVG(TR.Priceclose)","sdate:#1 edate:#2",,INDEX(MO_SNA_FPStartDate,0,COLUMN()),INDEX(MO_Common_QEndDate,0,COLUMN())),"N/A")</f>
        <v>Not Signed In</v>
      </c>
      <c r="Q872" s="412" t="str">
        <f>IFERROR(_xll.TR(MO.Ticker.Thomson,"AVG(TR.Priceclose)","sdate:#1 edate:#2",,INDEX(MO_SNA_FPStartDate,0,COLUMN()),INDEX(MO_Common_QEndDate,0,COLUMN())),"N/A")</f>
        <v>Not Signed In</v>
      </c>
      <c r="R872" s="412" t="str">
        <f>IFERROR(_xll.TR(MO.Ticker.Thomson,"AVG(TR.Priceclose)","sdate:#1 edate:#2",,INDEX(MO_SNA_FPStartDate,0,COLUMN()),INDEX(MO_Common_QEndDate,0,COLUMN())),"N/A")</f>
        <v>Not Signed In</v>
      </c>
      <c r="S872" s="412" t="str">
        <f>IFERROR(_xll.TR(MO.Ticker.Thomson,"AVG(TR.Priceclose)","sdate:#1 edate:#2",,INDEX(MO_SNA_FPStartDate,0,COLUMN()),INDEX(MO_Common_QEndDate,0,COLUMN())),"N/A")</f>
        <v>Not Signed In</v>
      </c>
      <c r="T872" s="412" t="str">
        <f>IFERROR(_xll.TR(MO.Ticker.Thomson,"AVG(TR.Priceclose)","sdate:#1 edate:#2",,INDEX(MO_SNA_FPStartDate,0,COLUMN()),INDEX(MO_Common_QEndDate,0,COLUMN())),"N/A")</f>
        <v>Not Signed In</v>
      </c>
      <c r="U872" s="412" t="str">
        <f>IFERROR(_xll.TR(MO.Ticker.Thomson,"AVG(TR.Priceclose)","sdate:#1 edate:#2",,INDEX(MO_SNA_FPStartDate,0,COLUMN()),INDEX(MO_Common_QEndDate,0,COLUMN())),"N/A")</f>
        <v>Not Signed In</v>
      </c>
      <c r="V872" s="412" t="str">
        <f>IFERROR(_xll.TR(MO.Ticker.Thomson,"AVG(TR.Priceclose)","sdate:#1 edate:#2",,INDEX(MO_SNA_FPStartDate,0,COLUMN()),INDEX(MO_Common_QEndDate,0,COLUMN())),"N/A")</f>
        <v>Not Signed In</v>
      </c>
      <c r="W872" s="412" t="str">
        <f>IFERROR(_xll.TR(MO.Ticker.Thomson,"AVG(TR.Priceclose)","sdate:#1 edate:#2",,INDEX(MO_SNA_FPStartDate,0,COLUMN()),INDEX(MO_Common_QEndDate,0,COLUMN())),"N/A")</f>
        <v>Not Signed In</v>
      </c>
      <c r="X872" s="412" t="str">
        <f>IFERROR(_xll.TR(MO.Ticker.Thomson,"AVG(TR.Priceclose)","sdate:#1 edate:#2",,INDEX(MO_SNA_FPStartDate,0,COLUMN()),INDEX(MO_Common_QEndDate,0,COLUMN())),"N/A")</f>
        <v>Not Signed In</v>
      </c>
      <c r="Y872" s="412" t="str">
        <f>IFERROR(_xll.TR(MO.Ticker.Thomson,"AVG(TR.Priceclose)","sdate:#1 edate:#2",,INDEX(MO_SNA_FPStartDate,0,COLUMN()),INDEX(MO_Common_QEndDate,0,COLUMN())),"N/A")</f>
        <v>Not Signed In</v>
      </c>
      <c r="Z872" s="412" t="str">
        <f>IFERROR(_xll.TR(MO.Ticker.Thomson,"AVG(TR.Priceclose)","sdate:#1 edate:#2",,INDEX(MO_SNA_FPStartDate,0,COLUMN()),INDEX(MO_Common_QEndDate,0,COLUMN())),"N/A")</f>
        <v>Not Signed In</v>
      </c>
      <c r="AA872" s="412" t="str">
        <f>IFERROR(_xll.TR(MO.Ticker.Thomson,"AVG(TR.Priceclose)","sdate:#1 edate:#2",,INDEX(MO_SNA_FPStartDate,0,COLUMN()),INDEX(MO_Common_QEndDate,0,COLUMN())),"N/A")</f>
        <v>Not Signed In</v>
      </c>
      <c r="AB872" s="412" t="str">
        <f>IFERROR(_xll.TR(MO.Ticker.Thomson,"AVG(TR.Priceclose)","sdate:#1 edate:#2",,INDEX(MO_SNA_FPStartDate,0,COLUMN()),INDEX(MO_Common_QEndDate,0,COLUMN())),"N/A")</f>
        <v>Not Signed In</v>
      </c>
      <c r="AC872" s="412" t="str">
        <f>IFERROR(_xll.TR(MO.Ticker.Thomson,"AVG(TR.Priceclose)","sdate:#1 edate:#2",,INDEX(MO_SNA_FPStartDate,0,COLUMN()),INDEX(MO_Common_QEndDate,0,COLUMN())),"N/A")</f>
        <v>Not Signed In</v>
      </c>
      <c r="AD872" s="412" t="str">
        <f>IFERROR(_xll.TR(MO.Ticker.Thomson,"AVG(TR.Priceclose)","sdate:#1 edate:#2",,INDEX(MO_SNA_FPStartDate,0,COLUMN()),INDEX(MO_Common_QEndDate,0,COLUMN())),"N/A")</f>
        <v>Not Signed In</v>
      </c>
      <c r="AE872" s="412" t="str">
        <f>IFERROR(_xll.TR(MO.Ticker.Thomson,"AVG(TR.Priceclose)","sdate:#1 edate:#2",,INDEX(MO_SNA_FPStartDate,0,COLUMN()),INDEX(MO_Common_QEndDate,0,COLUMN())),"N/A")</f>
        <v>Not Signed In</v>
      </c>
      <c r="AF872" s="412" t="str">
        <f>IFERROR(_xll.TR(MO.Ticker.Thomson,"AVG(TR.Priceclose)","sdate:#1 edate:#2",,INDEX(MO_SNA_FPStartDate,0,COLUMN()),INDEX(MO_Common_QEndDate,0,COLUMN())),"N/A")</f>
        <v>Not Signed In</v>
      </c>
      <c r="AG872" s="412" t="str">
        <f>IFERROR(_xll.TR(MO.Ticker.Thomson,"AVG(TR.Priceclose)","sdate:#1 edate:#2",,INDEX(MO_SNA_FPStartDate,0,COLUMN()),INDEX(MO_Common_QEndDate,0,COLUMN())),"N/A")</f>
        <v>Not Signed In</v>
      </c>
      <c r="AH872" s="412" t="str">
        <f>IFERROR(_xll.TR(MO.Ticker.Thomson,"AVG(TR.Priceclose)","sdate:#1 edate:#2",,INDEX(MO_SNA_FPStartDate,0,COLUMN()),INDEX(MO_Common_QEndDate,0,COLUMN())),"N/A")</f>
        <v>Not Signed In</v>
      </c>
      <c r="AI872" s="412" t="str">
        <f>IFERROR(_xll.TR(MO.Ticker.Thomson,"AVG(TR.Priceclose)","sdate:#1 edate:#2",,INDEX(MO_SNA_FPStartDate,0,COLUMN()),INDEX(MO_Common_QEndDate,0,COLUMN())),"N/A")</f>
        <v>Not Signed In</v>
      </c>
      <c r="AJ872" s="412" t="str">
        <f>IFERROR(_xll.TR(MO.Ticker.Thomson,"AVG(TR.Priceclose)","sdate:#1 edate:#2",,INDEX(MO_SNA_FPStartDate,0,COLUMN()),INDEX(MO_Common_QEndDate,0,COLUMN())),"N/A")</f>
        <v>Not Signed In</v>
      </c>
      <c r="AK872" s="412" t="str">
        <f>IFERROR(_xll.TR(MO.Ticker.Thomson,"AVG(TR.Priceclose)","sdate:#1 edate:#2",,INDEX(MO_SNA_FPStartDate,0,COLUMN()),INDEX(MO_Common_QEndDate,0,COLUMN())),"N/A")</f>
        <v>Not Signed In</v>
      </c>
      <c r="AL872" s="412" t="str">
        <f>IFERROR(_xll.TR(MO.Ticker.Thomson,"AVG(TR.Priceclose)","sdate:#1 edate:#2",,INDEX(MO_SNA_FPStartDate,0,COLUMN()),INDEX(MO_Common_QEndDate,0,COLUMN())),"N/A")</f>
        <v>Not Signed In</v>
      </c>
      <c r="AM872" s="412" t="str">
        <f>IFERROR(_xll.TR(MO.Ticker.Thomson,"AVG(TR.Priceclose)","sdate:#1 edate:#2",,INDEX(MO_SNA_FPStartDate,0,COLUMN()),INDEX(MO_Common_QEndDate,0,COLUMN())),"N/A")</f>
        <v>Not Signed In</v>
      </c>
      <c r="AN872" s="412" t="str">
        <f>IFERROR(_xll.TR(MO.Ticker.Thomson,"AVG(TR.Priceclose)","sdate:#1 edate:#2",,INDEX(MO_SNA_FPStartDate,0,COLUMN()),INDEX(MO_Common_QEndDate,0,COLUMN())),"N/A")</f>
        <v>Not Signed In</v>
      </c>
      <c r="AO872" s="412" t="str">
        <f>IFERROR(_xll.TR(MO.Ticker.Thomson,"AVG(TR.Priceclose)","sdate:#1 edate:#2",,INDEX(MO_SNA_FPStartDate,0,COLUMN()),INDEX(MO_Common_QEndDate,0,COLUMN())),"N/A")</f>
        <v>Not Signed In</v>
      </c>
      <c r="AP872" s="412" t="str">
        <f>IFERROR(_xll.TR(MO.Ticker.Thomson,"AVG(TR.Priceclose)","sdate:#1 edate:#2",,INDEX(MO_SNA_FPStartDate,0,COLUMN()),INDEX(MO_Common_QEndDate,0,COLUMN())),"N/A")</f>
        <v>Not Signed In</v>
      </c>
      <c r="AQ872" s="412" t="str">
        <f>IFERROR(_xll.TR(MO.Ticker.Thomson,"AVG(TR.Priceclose)","sdate:#1 edate:#2",,INDEX(MO_SNA_FPStartDate,0,COLUMN()),INDEX(MO_Common_QEndDate,0,COLUMN())),"N/A")</f>
        <v>Not Signed In</v>
      </c>
      <c r="AR872" s="412" t="str">
        <f>IFERROR(_xll.TR(MO.Ticker.Thomson,"AVG(TR.Priceclose)","sdate:#1 edate:#2",,INDEX(MO_SNA_FPStartDate,0,COLUMN()),INDEX(MO_Common_QEndDate,0,COLUMN())),"N/A")</f>
        <v>Not Signed In</v>
      </c>
      <c r="AS872" s="412" t="str">
        <f>IFERROR(_xll.TR(MO.Ticker.Thomson,"AVG(TR.Priceclose)","sdate:#1 edate:#2",,INDEX(MO_SNA_FPStartDate,0,COLUMN()),INDEX(MO_Common_QEndDate,0,COLUMN())),"N/A")</f>
        <v>Not Signed In</v>
      </c>
      <c r="AT872" s="412" t="str">
        <f>IFERROR(_xll.TR(MO.Ticker.Thomson,"AVG(TR.Priceclose)","sdate:#1 edate:#2",,INDEX(MO_SNA_FPStartDate,0,COLUMN()),INDEX(MO_Common_QEndDate,0,COLUMN())),"N/A")</f>
        <v>Not Signed In</v>
      </c>
      <c r="AU872" s="412" t="str">
        <f>IFERROR(_xll.TR(MO.Ticker.Thomson,"AVG(TR.Priceclose)","sdate:#1 edate:#2",,INDEX(MO_SNA_FPStartDate,0,COLUMN()),INDEX(MO_Common_QEndDate,0,COLUMN())),"N/A")</f>
        <v>Not Signed In</v>
      </c>
      <c r="AV872" s="412" t="str">
        <f>IFERROR(_xll.TR(MO.Ticker.Thomson,"AVG(TR.Priceclose)","sdate:#1 edate:#2",,INDEX(MO_SNA_FPStartDate,0,COLUMN()),INDEX(MO_Common_QEndDate,0,COLUMN())),"N/A")</f>
        <v>Not Signed In</v>
      </c>
      <c r="AW872" s="752" t="str">
        <f>IFERROR(_xll.TR(MO.Ticker.Thomson,"AVG(TR.Priceclose)","sdate:#1 edate:#2",,INDEX(MO_SNA_FPStartDate,0,COLUMN()),INDEX(MO_Common_QEndDate,0,COLUMN())),"N/A")</f>
        <v>Not Signed In</v>
      </c>
      <c r="AX872" s="412" t="str">
        <f>IFERROR(_xll.TR(MO.Ticker.Thomson,"AVG(TR.Priceclose)","sdate:#1 edate:#2",,INDEX(MO_SNA_FPStartDate,0,COLUMN()),INDEX(MO_Common_QEndDate,0,COLUMN())),"N/A")</f>
        <v>Not Signed In</v>
      </c>
      <c r="AY872" s="412" t="str">
        <f>IFERROR(_xll.TR(MO.Ticker.Thomson,"AVG(TR.Priceclose)","sdate:#1 edate:#2",,INDEX(MO_SNA_FPStartDate,0,COLUMN()),INDEX(MO_Common_QEndDate,0,COLUMN())),"N/A")</f>
        <v>Not Signed In</v>
      </c>
      <c r="AZ872" s="412" t="str">
        <f>IFERROR(_xll.TR(MO.Ticker.Thomson,"AVG(TR.Priceclose)","sdate:#1 edate:#2",,INDEX(MO_SNA_FPStartDate,0,COLUMN()),INDEX(MO_Common_QEndDate,0,COLUMN())),"N/A")</f>
        <v>Not Signed In</v>
      </c>
      <c r="BA872" s="412" t="str">
        <f>IFERROR(_xll.TR(MO.Ticker.Thomson,"AVG(TR.Priceclose)","sdate:#1 edate:#2",,INDEX(MO_SNA_FPStartDate,0,COLUMN()),INDEX(MO_Common_QEndDate,0,COLUMN())),"N/A")</f>
        <v>Not Signed In</v>
      </c>
      <c r="BB872" s="412" t="str">
        <f>IFERROR(_xll.TR(MO.Ticker.Thomson,"AVG(TR.Priceclose)","sdate:#1 edate:#2",,INDEX(MO_SNA_FPStartDate,0,COLUMN()),INDEX(MO_Common_QEndDate,0,COLUMN())),"N/A")</f>
        <v>Not Signed In</v>
      </c>
      <c r="BC872" s="412" t="str">
        <f>IFERROR(_xll.TR(MO.Ticker.Thomson,"AVG(TR.Priceclose)","sdate:#1 edate:#2",,INDEX(MO_SNA_FPStartDate,0,COLUMN()),INDEX(MO_Common_QEndDate,0,COLUMN())),"N/A")</f>
        <v>Not Signed In</v>
      </c>
      <c r="BD872" s="412" t="str">
        <f>IFERROR(_xll.TR(MO.Ticker.Thomson,"AVG(TR.Priceclose)","sdate:#1 edate:#2",,INDEX(MO_SNA_FPStartDate,0,COLUMN()),INDEX(MO_Common_QEndDate,0,COLUMN())),"N/A")</f>
        <v>Not Signed In</v>
      </c>
      <c r="BE872" s="412" t="str">
        <f>IFERROR(_xll.TR(MO.Ticker.Thomson,"AVG(TR.Priceclose)","sdate:#1 edate:#2",,INDEX(MO_SNA_FPStartDate,0,COLUMN()),INDEX(MO_Common_QEndDate,0,COLUMN())),"N/A")</f>
        <v>Not Signed In</v>
      </c>
      <c r="BF872" s="412" t="str">
        <f>IFERROR(_xll.TR(MO.Ticker.Thomson,"AVG(TR.Priceclose)","sdate:#1 edate:#2",,INDEX(MO_SNA_FPStartDate,0,COLUMN()),INDEX(MO_Common_QEndDate,0,COLUMN())),"N/A")</f>
        <v>Not Signed In</v>
      </c>
      <c r="BG872" s="412" t="str">
        <f>IFERROR(_xll.TR(MO.Ticker.Thomson,"AVG(TR.Priceclose)","sdate:#1 edate:#2",,INDEX(MO_SNA_FPStartDate,0,COLUMN()),INDEX(MO_Common_QEndDate,0,COLUMN())),"N/A")</f>
        <v>Not Signed In</v>
      </c>
      <c r="BH872" s="476"/>
    </row>
    <row r="873" spans="1:60" hidden="1" outlineLevel="1" x14ac:dyDescent="0.25">
      <c r="A873" s="379"/>
      <c r="B873" s="1021"/>
      <c r="C873" s="194"/>
      <c r="D873" s="194"/>
      <c r="E873" s="1021"/>
      <c r="F873" s="1021"/>
      <c r="G873" s="1021"/>
      <c r="H873" s="1021"/>
      <c r="I873" s="1021"/>
      <c r="J873" s="1021"/>
      <c r="K873" s="1021"/>
      <c r="L873" s="1021"/>
      <c r="M873" s="1021"/>
      <c r="N873" s="1021"/>
      <c r="O873" s="1021"/>
      <c r="P873" s="381"/>
      <c r="Q873" s="1021"/>
      <c r="R873" s="1021"/>
      <c r="S873" s="1021"/>
      <c r="T873" s="1021"/>
      <c r="U873" s="1021"/>
      <c r="V873" s="1021"/>
      <c r="W873" s="1021"/>
      <c r="X873" s="1021"/>
      <c r="Y873" s="1021"/>
      <c r="Z873" s="1021"/>
      <c r="AA873" s="1021"/>
      <c r="AB873" s="1021"/>
      <c r="AC873" s="1021"/>
      <c r="AD873" s="1021"/>
      <c r="AE873" s="1021"/>
      <c r="AF873" s="1021"/>
      <c r="AG873" s="1021"/>
      <c r="AH873" s="1021"/>
      <c r="AI873" s="1021"/>
      <c r="AJ873" s="1021"/>
      <c r="AK873" s="1021"/>
      <c r="AL873" s="1021"/>
      <c r="AM873" s="1021"/>
      <c r="AN873" s="1021"/>
      <c r="AO873" s="1021"/>
      <c r="AP873" s="1021"/>
      <c r="AQ873" s="1021"/>
      <c r="AR873" s="1021"/>
      <c r="AS873" s="1021"/>
      <c r="AT873" s="1021"/>
      <c r="AU873" s="1021"/>
      <c r="AV873" s="1021"/>
      <c r="AW873" s="1022"/>
      <c r="AX873" s="1021"/>
      <c r="AY873" s="1021"/>
      <c r="AZ873" s="1021"/>
      <c r="BA873" s="1021"/>
      <c r="BB873" s="1021"/>
      <c r="BC873" s="1021"/>
      <c r="BD873" s="1021"/>
      <c r="BE873" s="1021"/>
      <c r="BF873" s="1021"/>
      <c r="BG873" s="1021"/>
      <c r="BH873" s="472"/>
    </row>
    <row r="874" spans="1:60" s="419" customFormat="1" collapsed="1" x14ac:dyDescent="0.25">
      <c r="A874" s="417" t="str">
        <f ca="1">"FX Average: "&amp;IF(OR(MO.RealTimeStockPriceToggle=FALSE,VLOOKUP(MO.DataSourceName,MO_SPT_FXAverage_Sources,COLUMN()+2,FALSE)="N/A"),"Real-Time Off Source",MO.DataSourceName)</f>
        <v>FX Average: Real-Time Off Source</v>
      </c>
      <c r="B874" s="585"/>
      <c r="C874" s="584">
        <f t="shared" ref="C874:AH874" ca="1" si="927">IF(OR(MO.RealTimeStockPriceToggle=FALSE,EXACT(HP.TradeCurrency,MO.ReportCurrency),VLOOKUP(MO.DataSourceName,MO_SPT_FXAverage_Sources,COLUMN(),FALSE)="N/A"),VLOOKUP("Real-Time Off Source",MO_SPT_FXAverage_Sources,COLUMN(),FALSE),VLOOKUP(MO.DataSourceName,MO_SPT_FXAverage_Sources,COLUMN(),FALSE))</f>
        <v>0</v>
      </c>
      <c r="D874" s="584">
        <f t="shared" ca="1" si="927"/>
        <v>0</v>
      </c>
      <c r="E874" s="585">
        <f t="shared" ca="1" si="927"/>
        <v>0</v>
      </c>
      <c r="F874" s="585">
        <f t="shared" ca="1" si="927"/>
        <v>0</v>
      </c>
      <c r="G874" s="585">
        <f t="shared" ca="1" si="927"/>
        <v>0</v>
      </c>
      <c r="H874" s="585">
        <f t="shared" ca="1" si="927"/>
        <v>0</v>
      </c>
      <c r="I874" s="585">
        <f t="shared" ca="1" si="927"/>
        <v>0</v>
      </c>
      <c r="J874" s="585">
        <f t="shared" ca="1" si="927"/>
        <v>0</v>
      </c>
      <c r="K874" s="585">
        <f t="shared" ca="1" si="927"/>
        <v>0</v>
      </c>
      <c r="L874" s="585">
        <f t="shared" ca="1" si="927"/>
        <v>0</v>
      </c>
      <c r="M874" s="585">
        <f t="shared" ca="1" si="927"/>
        <v>0</v>
      </c>
      <c r="N874" s="585">
        <f t="shared" ca="1" si="927"/>
        <v>0</v>
      </c>
      <c r="O874" s="585">
        <f t="shared" ca="1" si="927"/>
        <v>0</v>
      </c>
      <c r="P874" s="585">
        <f t="shared" ca="1" si="927"/>
        <v>0</v>
      </c>
      <c r="Q874" s="585">
        <f t="shared" ca="1" si="927"/>
        <v>0</v>
      </c>
      <c r="R874" s="585">
        <f t="shared" ca="1" si="927"/>
        <v>0</v>
      </c>
      <c r="S874" s="585">
        <f t="shared" ca="1" si="927"/>
        <v>0</v>
      </c>
      <c r="T874" s="585">
        <f t="shared" ca="1" si="927"/>
        <v>0</v>
      </c>
      <c r="U874" s="585">
        <f t="shared" ca="1" si="927"/>
        <v>0</v>
      </c>
      <c r="V874" s="585">
        <f t="shared" ca="1" si="927"/>
        <v>0</v>
      </c>
      <c r="W874" s="585">
        <f t="shared" ca="1" si="927"/>
        <v>0</v>
      </c>
      <c r="X874" s="585">
        <f t="shared" ca="1" si="927"/>
        <v>0</v>
      </c>
      <c r="Y874" s="585">
        <f t="shared" ca="1" si="927"/>
        <v>0</v>
      </c>
      <c r="Z874" s="585">
        <f t="shared" ca="1" si="927"/>
        <v>0</v>
      </c>
      <c r="AA874" s="585">
        <f t="shared" ca="1" si="927"/>
        <v>0</v>
      </c>
      <c r="AB874" s="585">
        <f t="shared" ca="1" si="927"/>
        <v>0</v>
      </c>
      <c r="AC874" s="585">
        <f t="shared" ca="1" si="927"/>
        <v>0</v>
      </c>
      <c r="AD874" s="585">
        <f t="shared" ca="1" si="927"/>
        <v>0</v>
      </c>
      <c r="AE874" s="585">
        <f t="shared" ca="1" si="927"/>
        <v>0</v>
      </c>
      <c r="AF874" s="585">
        <f t="shared" ca="1" si="927"/>
        <v>0</v>
      </c>
      <c r="AG874" s="585">
        <f t="shared" ca="1" si="927"/>
        <v>0</v>
      </c>
      <c r="AH874" s="585">
        <f t="shared" ca="1" si="927"/>
        <v>0</v>
      </c>
      <c r="AI874" s="585">
        <f t="shared" ref="AI874:AY874" ca="1" si="928">IF(OR(MO.RealTimeStockPriceToggle=FALSE,EXACT(HP.TradeCurrency,MO.ReportCurrency),VLOOKUP(MO.DataSourceName,MO_SPT_FXAverage_Sources,COLUMN(),FALSE)="N/A"),VLOOKUP("Real-Time Off Source",MO_SPT_FXAverage_Sources,COLUMN(),FALSE),VLOOKUP(MO.DataSourceName,MO_SPT_FXAverage_Sources,COLUMN(),FALSE))</f>
        <v>0</v>
      </c>
      <c r="AJ874" s="585">
        <f t="shared" ca="1" si="928"/>
        <v>0</v>
      </c>
      <c r="AK874" s="585">
        <f t="shared" ca="1" si="928"/>
        <v>0</v>
      </c>
      <c r="AL874" s="585">
        <f t="shared" ca="1" si="928"/>
        <v>0</v>
      </c>
      <c r="AM874" s="585">
        <f t="shared" ca="1" si="928"/>
        <v>0</v>
      </c>
      <c r="AN874" s="585">
        <f t="shared" ca="1" si="928"/>
        <v>0</v>
      </c>
      <c r="AO874" s="585">
        <f t="shared" ca="1" si="928"/>
        <v>0</v>
      </c>
      <c r="AP874" s="585">
        <f t="shared" ca="1" si="928"/>
        <v>0</v>
      </c>
      <c r="AQ874" s="585">
        <f t="shared" ca="1" si="928"/>
        <v>0</v>
      </c>
      <c r="AR874" s="585">
        <f ca="1">IF(OR(MO.RealTimeStockPriceToggle=FALSE,EXACT(HP.TradeCurrency,MO.ReportCurrency),VLOOKUP(MO.DataSourceName,MO_SPT_FXAverage_Sources,COLUMN(),FALSE)="N/A"),VLOOKUP("Real-Time Off Source",MO_SPT_FXAverage_Sources,COLUMN(),FALSE),VLOOKUP(MO.DataSourceName,MO_SPT_FXAverage_Sources,COLUMN(),FALSE))</f>
        <v>0</v>
      </c>
      <c r="AS874" s="585">
        <f ca="1">IF(OR(MO.RealTimeStockPriceToggle=FALSE,EXACT(HP.TradeCurrency,MO.ReportCurrency),VLOOKUP(MO.DataSourceName,MO_SPT_FXAverage_Sources,COLUMN(),FALSE)="N/A"),VLOOKUP("Real-Time Off Source",MO_SPT_FXAverage_Sources,COLUMN(),FALSE),VLOOKUP(MO.DataSourceName,MO_SPT_FXAverage_Sources,COLUMN(),FALSE))</f>
        <v>0</v>
      </c>
      <c r="AT874" s="585">
        <f ca="1">IF(OR(MO.RealTimeStockPriceToggle=FALSE,EXACT(HP.TradeCurrency,MO.ReportCurrency),VLOOKUP(MO.DataSourceName,MO_SPT_FXAverage_Sources,COLUMN(),FALSE)="N/A"),VLOOKUP("Real-Time Off Source",MO_SPT_FXAverage_Sources,COLUMN(),FALSE),VLOOKUP(MO.DataSourceName,MO_SPT_FXAverage_Sources,COLUMN(),FALSE))</f>
        <v>0</v>
      </c>
      <c r="AU874" s="585">
        <f t="shared" ca="1" si="928"/>
        <v>0</v>
      </c>
      <c r="AV874" s="585">
        <f ca="1">IF(OR(MO.RealTimeStockPriceToggle=FALSE,EXACT(HP.TradeCurrency,MO.ReportCurrency),VLOOKUP(MO.DataSourceName,MO_SPT_FXAverage_Sources,COLUMN(),FALSE)="N/A"),VLOOKUP("Real-Time Off Source",MO_SPT_FXAverage_Sources,COLUMN(),FALSE),VLOOKUP(MO.DataSourceName,MO_SPT_FXAverage_Sources,COLUMN(),FALSE))</f>
        <v>0</v>
      </c>
      <c r="AW874" s="753">
        <f ca="1">IF(OR(MO.RealTimeStockPriceToggle=FALSE,EXACT(HP.TradeCurrency,MO.ReportCurrency),VLOOKUP(MO.DataSourceName,MO_SPT_FXAverage_Sources,COLUMN(),FALSE)="N/A"),VLOOKUP("Real-Time Off Source",MO_SPT_FXAverage_Sources,COLUMN(),FALSE),VLOOKUP(MO.DataSourceName,MO_SPT_FXAverage_Sources,COLUMN(),FALSE))</f>
        <v>0</v>
      </c>
      <c r="AX874" s="585">
        <f t="shared" ca="1" si="928"/>
        <v>1</v>
      </c>
      <c r="AY874" s="585">
        <f t="shared" ca="1" si="928"/>
        <v>1</v>
      </c>
      <c r="AZ874" s="585">
        <f t="shared" ref="AZ874:BG874" ca="1" si="929">IF(OR(MO.RealTimeStockPriceToggle=FALSE,EXACT(HP.TradeCurrency,MO.ReportCurrency),VLOOKUP(MO.DataSourceName,MO_SPT_FXAverage_Sources,COLUMN(),FALSE)="N/A"),VLOOKUP("Real-Time Off Source",MO_SPT_FXAverage_Sources,COLUMN(),FALSE),VLOOKUP(MO.DataSourceName,MO_SPT_FXAverage_Sources,COLUMN(),FALSE))</f>
        <v>1</v>
      </c>
      <c r="BA874" s="585">
        <f t="shared" ca="1" si="929"/>
        <v>1</v>
      </c>
      <c r="BB874" s="585">
        <f t="shared" ca="1" si="929"/>
        <v>1</v>
      </c>
      <c r="BC874" s="585">
        <f t="shared" ca="1" si="929"/>
        <v>1</v>
      </c>
      <c r="BD874" s="585">
        <f t="shared" ca="1" si="929"/>
        <v>1</v>
      </c>
      <c r="BE874" s="585">
        <f t="shared" ca="1" si="929"/>
        <v>1</v>
      </c>
      <c r="BF874" s="585">
        <f t="shared" ca="1" si="929"/>
        <v>1</v>
      </c>
      <c r="BG874" s="585">
        <f t="shared" ca="1" si="929"/>
        <v>1</v>
      </c>
      <c r="BH874" s="477"/>
    </row>
    <row r="875" spans="1:60" s="419" customFormat="1" hidden="1" outlineLevel="1" x14ac:dyDescent="0.25">
      <c r="A875" s="420" t="s">
        <v>332</v>
      </c>
      <c r="B875" s="585"/>
      <c r="C875" s="584"/>
      <c r="D875" s="584"/>
      <c r="E875" s="585"/>
      <c r="F875" s="585"/>
      <c r="G875" s="585"/>
      <c r="H875" s="585"/>
      <c r="I875" s="585"/>
      <c r="J875" s="585"/>
      <c r="K875" s="585"/>
      <c r="L875" s="585"/>
      <c r="M875" s="585"/>
      <c r="N875" s="585"/>
      <c r="O875" s="585"/>
      <c r="P875" s="585"/>
      <c r="Q875" s="585"/>
      <c r="R875" s="585"/>
      <c r="S875" s="585"/>
      <c r="T875" s="585"/>
      <c r="U875" s="585"/>
      <c r="V875" s="585"/>
      <c r="W875" s="585"/>
      <c r="X875" s="585"/>
      <c r="Y875" s="585"/>
      <c r="Z875" s="585"/>
      <c r="AA875" s="585"/>
      <c r="AB875" s="585"/>
      <c r="AC875" s="585"/>
      <c r="AD875" s="585"/>
      <c r="AE875" s="585"/>
      <c r="AF875" s="585"/>
      <c r="AG875" s="585"/>
      <c r="AH875" s="585"/>
      <c r="AI875" s="585"/>
      <c r="AJ875" s="585"/>
      <c r="AK875" s="585"/>
      <c r="AL875" s="585"/>
      <c r="AM875" s="585"/>
      <c r="AN875" s="585"/>
      <c r="AO875" s="585"/>
      <c r="AP875" s="585"/>
      <c r="AQ875" s="585"/>
      <c r="AR875" s="585"/>
      <c r="AS875" s="585"/>
      <c r="AT875" s="585"/>
      <c r="AU875" s="585"/>
      <c r="AV875" s="585"/>
      <c r="AW875" s="753"/>
      <c r="AX875" s="585">
        <f>MO.MRFX.Hardcoded</f>
        <v>1</v>
      </c>
      <c r="AY875" s="585">
        <f>MO.MRFX.Hardcoded</f>
        <v>1</v>
      </c>
      <c r="AZ875" s="585">
        <f t="shared" ref="AZ875:BG875" si="930">MO.MRFX.Hardcoded</f>
        <v>1</v>
      </c>
      <c r="BA875" s="585">
        <f t="shared" si="930"/>
        <v>1</v>
      </c>
      <c r="BB875" s="585">
        <f t="shared" si="930"/>
        <v>1</v>
      </c>
      <c r="BC875" s="585">
        <f t="shared" si="930"/>
        <v>1</v>
      </c>
      <c r="BD875" s="585">
        <f t="shared" si="930"/>
        <v>1</v>
      </c>
      <c r="BE875" s="585">
        <f t="shared" si="930"/>
        <v>1</v>
      </c>
      <c r="BF875" s="585">
        <f t="shared" si="930"/>
        <v>1</v>
      </c>
      <c r="BG875" s="585">
        <f t="shared" si="930"/>
        <v>1</v>
      </c>
      <c r="BH875" s="477"/>
    </row>
    <row r="876" spans="1:60" s="419" customFormat="1" hidden="1" outlineLevel="1" x14ac:dyDescent="0.25">
      <c r="A876" s="420" t="s">
        <v>7</v>
      </c>
      <c r="B876" s="585"/>
      <c r="C876" s="58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D876" s="58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E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F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G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H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I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J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K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L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M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N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O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P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Q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R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S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T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U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V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W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X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Y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Z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A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B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C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D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E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F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G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H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I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J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K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L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M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N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O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P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Q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R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S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T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U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V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W876" s="7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X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Y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Z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A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B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C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D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E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F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G876"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H876" s="477"/>
    </row>
    <row r="877" spans="1:60" s="419" customFormat="1" hidden="1" outlineLevel="1" x14ac:dyDescent="0.25">
      <c r="A877" s="420" t="s">
        <v>333</v>
      </c>
      <c r="B877" s="585"/>
      <c r="C877" s="584" t="str">
        <f ca="1">IFERROR(IF(INDEX(MO_Common_QEndDate,0,COLUMN())&gt;TODAY(),CIQ("$"&amp;HP.TradeCurrency&amp;MO.ReportCurrency,"IQ_LASTSALEPRICE"),CIQAVG("$"&amp;HP.TradeCurrency&amp;MO.ReportCurrency,"IQ_LASTSALEPRICE",INDEX(MO_SNA_FPStartDate,0,COLUMN()),INDEX(MO_Common_QEndDate,0,COLUMN()))),"N/A")</f>
        <v>N/A</v>
      </c>
      <c r="D877" s="584" t="str">
        <f ca="1">IFERROR(IF(INDEX(MO_Common_QEndDate,0,COLUMN())&gt;TODAY(),CIQ("$"&amp;HP.TradeCurrency&amp;MO.ReportCurrency,"IQ_LASTSALEPRICE"),CIQAVG("$"&amp;HP.TradeCurrency&amp;MO.ReportCurrency,"IQ_LASTSALEPRICE",INDEX(MO_SNA_FPStartDate,0,COLUMN()),INDEX(MO_Common_QEndDate,0,COLUMN()))),"N/A")</f>
        <v>N/A</v>
      </c>
      <c r="E877" s="585" t="str">
        <f ca="1">IFERROR(IF(INDEX(MO_Common_QEndDate,0,COLUMN())&gt;TODAY(),CIQ("$"&amp;HP.TradeCurrency&amp;MO.ReportCurrency,"IQ_LASTSALEPRICE"),CIQAVG("$"&amp;HP.TradeCurrency&amp;MO.ReportCurrency,"IQ_LASTSALEPRICE",INDEX(MO_SNA_FPStartDate,0,COLUMN()),INDEX(MO_Common_QEndDate,0,COLUMN()))),"N/A")</f>
        <v>N/A</v>
      </c>
      <c r="F877" s="585" t="str">
        <f ca="1">IFERROR(IF(INDEX(MO_Common_QEndDate,0,COLUMN())&gt;TODAY(),CIQ("$"&amp;HP.TradeCurrency&amp;MO.ReportCurrency,"IQ_LASTSALEPRICE"),CIQAVG("$"&amp;HP.TradeCurrency&amp;MO.ReportCurrency,"IQ_LASTSALEPRICE",INDEX(MO_SNA_FPStartDate,0,COLUMN()),INDEX(MO_Common_QEndDate,0,COLUMN()))),"N/A")</f>
        <v>N/A</v>
      </c>
      <c r="G877" s="585" t="str">
        <f ca="1">IFERROR(IF(INDEX(MO_Common_QEndDate,0,COLUMN())&gt;TODAY(),CIQ("$"&amp;HP.TradeCurrency&amp;MO.ReportCurrency,"IQ_LASTSALEPRICE"),CIQAVG("$"&amp;HP.TradeCurrency&amp;MO.ReportCurrency,"IQ_LASTSALEPRICE",INDEX(MO_SNA_FPStartDate,0,COLUMN()),INDEX(MO_Common_QEndDate,0,COLUMN()))),"N/A")</f>
        <v>N/A</v>
      </c>
      <c r="H877" s="585" t="str">
        <f ca="1">IFERROR(IF(INDEX(MO_Common_QEndDate,0,COLUMN())&gt;TODAY(),CIQ("$"&amp;HP.TradeCurrency&amp;MO.ReportCurrency,"IQ_LASTSALEPRICE"),CIQAVG("$"&amp;HP.TradeCurrency&amp;MO.ReportCurrency,"IQ_LASTSALEPRICE",INDEX(MO_SNA_FPStartDate,0,COLUMN()),INDEX(MO_Common_QEndDate,0,COLUMN()))),"N/A")</f>
        <v>N/A</v>
      </c>
      <c r="I877" s="585" t="str">
        <f ca="1">IFERROR(IF(INDEX(MO_Common_QEndDate,0,COLUMN())&gt;TODAY(),CIQ("$"&amp;HP.TradeCurrency&amp;MO.ReportCurrency,"IQ_LASTSALEPRICE"),CIQAVG("$"&amp;HP.TradeCurrency&amp;MO.ReportCurrency,"IQ_LASTSALEPRICE",INDEX(MO_SNA_FPStartDate,0,COLUMN()),INDEX(MO_Common_QEndDate,0,COLUMN()))),"N/A")</f>
        <v>N/A</v>
      </c>
      <c r="J877" s="585" t="str">
        <f ca="1">IFERROR(IF(INDEX(MO_Common_QEndDate,0,COLUMN())&gt;TODAY(),CIQ("$"&amp;HP.TradeCurrency&amp;MO.ReportCurrency,"IQ_LASTSALEPRICE"),CIQAVG("$"&amp;HP.TradeCurrency&amp;MO.ReportCurrency,"IQ_LASTSALEPRICE",INDEX(MO_SNA_FPStartDate,0,COLUMN()),INDEX(MO_Common_QEndDate,0,COLUMN()))),"N/A")</f>
        <v>N/A</v>
      </c>
      <c r="K877" s="585" t="str">
        <f ca="1">IFERROR(IF(INDEX(MO_Common_QEndDate,0,COLUMN())&gt;TODAY(),CIQ("$"&amp;HP.TradeCurrency&amp;MO.ReportCurrency,"IQ_LASTSALEPRICE"),CIQAVG("$"&amp;HP.TradeCurrency&amp;MO.ReportCurrency,"IQ_LASTSALEPRICE",INDEX(MO_SNA_FPStartDate,0,COLUMN()),INDEX(MO_Common_QEndDate,0,COLUMN()))),"N/A")</f>
        <v>N/A</v>
      </c>
      <c r="L877" s="585" t="str">
        <f ca="1">IFERROR(IF(INDEX(MO_Common_QEndDate,0,COLUMN())&gt;TODAY(),CIQ("$"&amp;HP.TradeCurrency&amp;MO.ReportCurrency,"IQ_LASTSALEPRICE"),CIQAVG("$"&amp;HP.TradeCurrency&amp;MO.ReportCurrency,"IQ_LASTSALEPRICE",INDEX(MO_SNA_FPStartDate,0,COLUMN()),INDEX(MO_Common_QEndDate,0,COLUMN()))),"N/A")</f>
        <v>N/A</v>
      </c>
      <c r="M877" s="585" t="str">
        <f ca="1">IFERROR(IF(INDEX(MO_Common_QEndDate,0,COLUMN())&gt;TODAY(),CIQ("$"&amp;HP.TradeCurrency&amp;MO.ReportCurrency,"IQ_LASTSALEPRICE"),CIQAVG("$"&amp;HP.TradeCurrency&amp;MO.ReportCurrency,"IQ_LASTSALEPRICE",INDEX(MO_SNA_FPStartDate,0,COLUMN()),INDEX(MO_Common_QEndDate,0,COLUMN()))),"N/A")</f>
        <v>N/A</v>
      </c>
      <c r="N877" s="585" t="str">
        <f ca="1">IFERROR(IF(INDEX(MO_Common_QEndDate,0,COLUMN())&gt;TODAY(),CIQ("$"&amp;HP.TradeCurrency&amp;MO.ReportCurrency,"IQ_LASTSALEPRICE"),CIQAVG("$"&amp;HP.TradeCurrency&amp;MO.ReportCurrency,"IQ_LASTSALEPRICE",INDEX(MO_SNA_FPStartDate,0,COLUMN()),INDEX(MO_Common_QEndDate,0,COLUMN()))),"N/A")</f>
        <v>N/A</v>
      </c>
      <c r="O877" s="585" t="str">
        <f ca="1">IFERROR(IF(INDEX(MO_Common_QEndDate,0,COLUMN())&gt;TODAY(),CIQ("$"&amp;HP.TradeCurrency&amp;MO.ReportCurrency,"IQ_LASTSALEPRICE"),CIQAVG("$"&amp;HP.TradeCurrency&amp;MO.ReportCurrency,"IQ_LASTSALEPRICE",INDEX(MO_SNA_FPStartDate,0,COLUMN()),INDEX(MO_Common_QEndDate,0,COLUMN()))),"N/A")</f>
        <v>N/A</v>
      </c>
      <c r="P877" s="585" t="str">
        <f ca="1">IFERROR(IF(INDEX(MO_Common_QEndDate,0,COLUMN())&gt;TODAY(),CIQ("$"&amp;HP.TradeCurrency&amp;MO.ReportCurrency,"IQ_LASTSALEPRICE"),CIQAVG("$"&amp;HP.TradeCurrency&amp;MO.ReportCurrency,"IQ_LASTSALEPRICE",INDEX(MO_SNA_FPStartDate,0,COLUMN()),INDEX(MO_Common_QEndDate,0,COLUMN()))),"N/A")</f>
        <v>N/A</v>
      </c>
      <c r="Q877" s="585" t="str">
        <f ca="1">IFERROR(IF(INDEX(MO_Common_QEndDate,0,COLUMN())&gt;TODAY(),CIQ("$"&amp;HP.TradeCurrency&amp;MO.ReportCurrency,"IQ_LASTSALEPRICE"),CIQAVG("$"&amp;HP.TradeCurrency&amp;MO.ReportCurrency,"IQ_LASTSALEPRICE",INDEX(MO_SNA_FPStartDate,0,COLUMN()),INDEX(MO_Common_QEndDate,0,COLUMN()))),"N/A")</f>
        <v>N/A</v>
      </c>
      <c r="R877" s="585" t="str">
        <f ca="1">IFERROR(IF(INDEX(MO_Common_QEndDate,0,COLUMN())&gt;TODAY(),CIQ("$"&amp;HP.TradeCurrency&amp;MO.ReportCurrency,"IQ_LASTSALEPRICE"),CIQAVG("$"&amp;HP.TradeCurrency&amp;MO.ReportCurrency,"IQ_LASTSALEPRICE",INDEX(MO_SNA_FPStartDate,0,COLUMN()),INDEX(MO_Common_QEndDate,0,COLUMN()))),"N/A")</f>
        <v>N/A</v>
      </c>
      <c r="S877" s="585" t="str">
        <f ca="1">IFERROR(IF(INDEX(MO_Common_QEndDate,0,COLUMN())&gt;TODAY(),CIQ("$"&amp;HP.TradeCurrency&amp;MO.ReportCurrency,"IQ_LASTSALEPRICE"),CIQAVG("$"&amp;HP.TradeCurrency&amp;MO.ReportCurrency,"IQ_LASTSALEPRICE",INDEX(MO_SNA_FPStartDate,0,COLUMN()),INDEX(MO_Common_QEndDate,0,COLUMN()))),"N/A")</f>
        <v>N/A</v>
      </c>
      <c r="T877" s="585" t="str">
        <f ca="1">IFERROR(IF(INDEX(MO_Common_QEndDate,0,COLUMN())&gt;TODAY(),CIQ("$"&amp;HP.TradeCurrency&amp;MO.ReportCurrency,"IQ_LASTSALEPRICE"),CIQAVG("$"&amp;HP.TradeCurrency&amp;MO.ReportCurrency,"IQ_LASTSALEPRICE",INDEX(MO_SNA_FPStartDate,0,COLUMN()),INDEX(MO_Common_QEndDate,0,COLUMN()))),"N/A")</f>
        <v>N/A</v>
      </c>
      <c r="U877" s="585" t="str">
        <f ca="1">IFERROR(IF(INDEX(MO_Common_QEndDate,0,COLUMN())&gt;TODAY(),CIQ("$"&amp;HP.TradeCurrency&amp;MO.ReportCurrency,"IQ_LASTSALEPRICE"),CIQAVG("$"&amp;HP.TradeCurrency&amp;MO.ReportCurrency,"IQ_LASTSALEPRICE",INDEX(MO_SNA_FPStartDate,0,COLUMN()),INDEX(MO_Common_QEndDate,0,COLUMN()))),"N/A")</f>
        <v>N/A</v>
      </c>
      <c r="V877" s="585" t="str">
        <f ca="1">IFERROR(IF(INDEX(MO_Common_QEndDate,0,COLUMN())&gt;TODAY(),CIQ("$"&amp;HP.TradeCurrency&amp;MO.ReportCurrency,"IQ_LASTSALEPRICE"),CIQAVG("$"&amp;HP.TradeCurrency&amp;MO.ReportCurrency,"IQ_LASTSALEPRICE",INDEX(MO_SNA_FPStartDate,0,COLUMN()),INDEX(MO_Common_QEndDate,0,COLUMN()))),"N/A")</f>
        <v>N/A</v>
      </c>
      <c r="W877" s="585" t="str">
        <f ca="1">IFERROR(IF(INDEX(MO_Common_QEndDate,0,COLUMN())&gt;TODAY(),CIQ("$"&amp;HP.TradeCurrency&amp;MO.ReportCurrency,"IQ_LASTSALEPRICE"),CIQAVG("$"&amp;HP.TradeCurrency&amp;MO.ReportCurrency,"IQ_LASTSALEPRICE",INDEX(MO_SNA_FPStartDate,0,COLUMN()),INDEX(MO_Common_QEndDate,0,COLUMN()))),"N/A")</f>
        <v>N/A</v>
      </c>
      <c r="X877" s="585" t="str">
        <f ca="1">IFERROR(IF(INDEX(MO_Common_QEndDate,0,COLUMN())&gt;TODAY(),CIQ("$"&amp;HP.TradeCurrency&amp;MO.ReportCurrency,"IQ_LASTSALEPRICE"),CIQAVG("$"&amp;HP.TradeCurrency&amp;MO.ReportCurrency,"IQ_LASTSALEPRICE",INDEX(MO_SNA_FPStartDate,0,COLUMN()),INDEX(MO_Common_QEndDate,0,COLUMN()))),"N/A")</f>
        <v>N/A</v>
      </c>
      <c r="Y877" s="585" t="str">
        <f ca="1">IFERROR(IF(INDEX(MO_Common_QEndDate,0,COLUMN())&gt;TODAY(),CIQ("$"&amp;HP.TradeCurrency&amp;MO.ReportCurrency,"IQ_LASTSALEPRICE"),CIQAVG("$"&amp;HP.TradeCurrency&amp;MO.ReportCurrency,"IQ_LASTSALEPRICE",INDEX(MO_SNA_FPStartDate,0,COLUMN()),INDEX(MO_Common_QEndDate,0,COLUMN()))),"N/A")</f>
        <v>N/A</v>
      </c>
      <c r="Z877" s="585" t="str">
        <f ca="1">IFERROR(IF(INDEX(MO_Common_QEndDate,0,COLUMN())&gt;TODAY(),CIQ("$"&amp;HP.TradeCurrency&amp;MO.ReportCurrency,"IQ_LASTSALEPRICE"),CIQAVG("$"&amp;HP.TradeCurrency&amp;MO.ReportCurrency,"IQ_LASTSALEPRICE",INDEX(MO_SNA_FPStartDate,0,COLUMN()),INDEX(MO_Common_QEndDate,0,COLUMN()))),"N/A")</f>
        <v>N/A</v>
      </c>
      <c r="AA877" s="585" t="str">
        <f ca="1">IFERROR(IF(INDEX(MO_Common_QEndDate,0,COLUMN())&gt;TODAY(),CIQ("$"&amp;HP.TradeCurrency&amp;MO.ReportCurrency,"IQ_LASTSALEPRICE"),CIQAVG("$"&amp;HP.TradeCurrency&amp;MO.ReportCurrency,"IQ_LASTSALEPRICE",INDEX(MO_SNA_FPStartDate,0,COLUMN()),INDEX(MO_Common_QEndDate,0,COLUMN()))),"N/A")</f>
        <v>N/A</v>
      </c>
      <c r="AB877" s="585" t="str">
        <f ca="1">IFERROR(IF(INDEX(MO_Common_QEndDate,0,COLUMN())&gt;TODAY(),CIQ("$"&amp;HP.TradeCurrency&amp;MO.ReportCurrency,"IQ_LASTSALEPRICE"),CIQAVG("$"&amp;HP.TradeCurrency&amp;MO.ReportCurrency,"IQ_LASTSALEPRICE",INDEX(MO_SNA_FPStartDate,0,COLUMN()),INDEX(MO_Common_QEndDate,0,COLUMN()))),"N/A")</f>
        <v>N/A</v>
      </c>
      <c r="AC877" s="585" t="str">
        <f ca="1">IFERROR(IF(INDEX(MO_Common_QEndDate,0,COLUMN())&gt;TODAY(),CIQ("$"&amp;HP.TradeCurrency&amp;MO.ReportCurrency,"IQ_LASTSALEPRICE"),CIQAVG("$"&amp;HP.TradeCurrency&amp;MO.ReportCurrency,"IQ_LASTSALEPRICE",INDEX(MO_SNA_FPStartDate,0,COLUMN()),INDEX(MO_Common_QEndDate,0,COLUMN()))),"N/A")</f>
        <v>N/A</v>
      </c>
      <c r="AD877" s="585" t="str">
        <f ca="1">IFERROR(IF(INDEX(MO_Common_QEndDate,0,COLUMN())&gt;TODAY(),CIQ("$"&amp;HP.TradeCurrency&amp;MO.ReportCurrency,"IQ_LASTSALEPRICE"),CIQAVG("$"&amp;HP.TradeCurrency&amp;MO.ReportCurrency,"IQ_LASTSALEPRICE",INDEX(MO_SNA_FPStartDate,0,COLUMN()),INDEX(MO_Common_QEndDate,0,COLUMN()))),"N/A")</f>
        <v>N/A</v>
      </c>
      <c r="AE877" s="585" t="str">
        <f ca="1">IFERROR(IF(INDEX(MO_Common_QEndDate,0,COLUMN())&gt;TODAY(),CIQ("$"&amp;HP.TradeCurrency&amp;MO.ReportCurrency,"IQ_LASTSALEPRICE"),CIQAVG("$"&amp;HP.TradeCurrency&amp;MO.ReportCurrency,"IQ_LASTSALEPRICE",INDEX(MO_SNA_FPStartDate,0,COLUMN()),INDEX(MO_Common_QEndDate,0,COLUMN()))),"N/A")</f>
        <v>N/A</v>
      </c>
      <c r="AF877" s="585" t="str">
        <f ca="1">IFERROR(IF(INDEX(MO_Common_QEndDate,0,COLUMN())&gt;TODAY(),CIQ("$"&amp;HP.TradeCurrency&amp;MO.ReportCurrency,"IQ_LASTSALEPRICE"),CIQAVG("$"&amp;HP.TradeCurrency&amp;MO.ReportCurrency,"IQ_LASTSALEPRICE",INDEX(MO_SNA_FPStartDate,0,COLUMN()),INDEX(MO_Common_QEndDate,0,COLUMN()))),"N/A")</f>
        <v>N/A</v>
      </c>
      <c r="AG877" s="585" t="str">
        <f ca="1">IFERROR(IF(INDEX(MO_Common_QEndDate,0,COLUMN())&gt;TODAY(),CIQ("$"&amp;HP.TradeCurrency&amp;MO.ReportCurrency,"IQ_LASTSALEPRICE"),CIQAVG("$"&amp;HP.TradeCurrency&amp;MO.ReportCurrency,"IQ_LASTSALEPRICE",INDEX(MO_SNA_FPStartDate,0,COLUMN()),INDEX(MO_Common_QEndDate,0,COLUMN()))),"N/A")</f>
        <v>N/A</v>
      </c>
      <c r="AH877" s="585" t="str">
        <f ca="1">IFERROR(IF(INDEX(MO_Common_QEndDate,0,COLUMN())&gt;TODAY(),CIQ("$"&amp;HP.TradeCurrency&amp;MO.ReportCurrency,"IQ_LASTSALEPRICE"),CIQAVG("$"&amp;HP.TradeCurrency&amp;MO.ReportCurrency,"IQ_LASTSALEPRICE",INDEX(MO_SNA_FPStartDate,0,COLUMN()),INDEX(MO_Common_QEndDate,0,COLUMN()))),"N/A")</f>
        <v>N/A</v>
      </c>
      <c r="AI877" s="585" t="str">
        <f ca="1">IFERROR(IF(INDEX(MO_Common_QEndDate,0,COLUMN())&gt;TODAY(),CIQ("$"&amp;HP.TradeCurrency&amp;MO.ReportCurrency,"IQ_LASTSALEPRICE"),CIQAVG("$"&amp;HP.TradeCurrency&amp;MO.ReportCurrency,"IQ_LASTSALEPRICE",INDEX(MO_SNA_FPStartDate,0,COLUMN()),INDEX(MO_Common_QEndDate,0,COLUMN()))),"N/A")</f>
        <v>N/A</v>
      </c>
      <c r="AJ877" s="585" t="str">
        <f ca="1">IFERROR(IF(INDEX(MO_Common_QEndDate,0,COLUMN())&gt;TODAY(),CIQ("$"&amp;HP.TradeCurrency&amp;MO.ReportCurrency,"IQ_LASTSALEPRICE"),CIQAVG("$"&amp;HP.TradeCurrency&amp;MO.ReportCurrency,"IQ_LASTSALEPRICE",INDEX(MO_SNA_FPStartDate,0,COLUMN()),INDEX(MO_Common_QEndDate,0,COLUMN()))),"N/A")</f>
        <v>N/A</v>
      </c>
      <c r="AK877" s="585" t="str">
        <f ca="1">IFERROR(IF(INDEX(MO_Common_QEndDate,0,COLUMN())&gt;TODAY(),CIQ("$"&amp;HP.TradeCurrency&amp;MO.ReportCurrency,"IQ_LASTSALEPRICE"),CIQAVG("$"&amp;HP.TradeCurrency&amp;MO.ReportCurrency,"IQ_LASTSALEPRICE",INDEX(MO_SNA_FPStartDate,0,COLUMN()),INDEX(MO_Common_QEndDate,0,COLUMN()))),"N/A")</f>
        <v>N/A</v>
      </c>
      <c r="AL877" s="585" t="str">
        <f ca="1">IFERROR(IF(INDEX(MO_Common_QEndDate,0,COLUMN())&gt;TODAY(),CIQ("$"&amp;HP.TradeCurrency&amp;MO.ReportCurrency,"IQ_LASTSALEPRICE"),CIQAVG("$"&amp;HP.TradeCurrency&amp;MO.ReportCurrency,"IQ_LASTSALEPRICE",INDEX(MO_SNA_FPStartDate,0,COLUMN()),INDEX(MO_Common_QEndDate,0,COLUMN()))),"N/A")</f>
        <v>N/A</v>
      </c>
      <c r="AM877" s="585" t="str">
        <f ca="1">IFERROR(IF(INDEX(MO_Common_QEndDate,0,COLUMN())&gt;TODAY(),CIQ("$"&amp;HP.TradeCurrency&amp;MO.ReportCurrency,"IQ_LASTSALEPRICE"),CIQAVG("$"&amp;HP.TradeCurrency&amp;MO.ReportCurrency,"IQ_LASTSALEPRICE",INDEX(MO_SNA_FPStartDate,0,COLUMN()),INDEX(MO_Common_QEndDate,0,COLUMN()))),"N/A")</f>
        <v>N/A</v>
      </c>
      <c r="AN877" s="585" t="str">
        <f ca="1">IFERROR(IF(INDEX(MO_Common_QEndDate,0,COLUMN())&gt;TODAY(),CIQ("$"&amp;HP.TradeCurrency&amp;MO.ReportCurrency,"IQ_LASTSALEPRICE"),CIQAVG("$"&amp;HP.TradeCurrency&amp;MO.ReportCurrency,"IQ_LASTSALEPRICE",INDEX(MO_SNA_FPStartDate,0,COLUMN()),INDEX(MO_Common_QEndDate,0,COLUMN()))),"N/A")</f>
        <v>N/A</v>
      </c>
      <c r="AO877" s="585" t="str">
        <f ca="1">IFERROR(IF(INDEX(MO_Common_QEndDate,0,COLUMN())&gt;TODAY(),CIQ("$"&amp;HP.TradeCurrency&amp;MO.ReportCurrency,"IQ_LASTSALEPRICE"),CIQAVG("$"&amp;HP.TradeCurrency&amp;MO.ReportCurrency,"IQ_LASTSALEPRICE",INDEX(MO_SNA_FPStartDate,0,COLUMN()),INDEX(MO_Common_QEndDate,0,COLUMN()))),"N/A")</f>
        <v>N/A</v>
      </c>
      <c r="AP877" s="585" t="str">
        <f ca="1">IFERROR(IF(INDEX(MO_Common_QEndDate,0,COLUMN())&gt;TODAY(),CIQ("$"&amp;HP.TradeCurrency&amp;MO.ReportCurrency,"IQ_LASTSALEPRICE"),CIQAVG("$"&amp;HP.TradeCurrency&amp;MO.ReportCurrency,"IQ_LASTSALEPRICE",INDEX(MO_SNA_FPStartDate,0,COLUMN()),INDEX(MO_Common_QEndDate,0,COLUMN()))),"N/A")</f>
        <v>N/A</v>
      </c>
      <c r="AQ877" s="585" t="str">
        <f ca="1">IFERROR(IF(INDEX(MO_Common_QEndDate,0,COLUMN())&gt;TODAY(),CIQ("$"&amp;HP.TradeCurrency&amp;MO.ReportCurrency,"IQ_LASTSALEPRICE"),CIQAVG("$"&amp;HP.TradeCurrency&amp;MO.ReportCurrency,"IQ_LASTSALEPRICE",INDEX(MO_SNA_FPStartDate,0,COLUMN()),INDEX(MO_Common_QEndDate,0,COLUMN()))),"N/A")</f>
        <v>N/A</v>
      </c>
      <c r="AR877" s="585" t="str">
        <f ca="1">IFERROR(IF(INDEX(MO_Common_QEndDate,0,COLUMN())&gt;TODAY(),CIQ("$"&amp;HP.TradeCurrency&amp;MO.ReportCurrency,"IQ_LASTSALEPRICE"),CIQAVG("$"&amp;HP.TradeCurrency&amp;MO.ReportCurrency,"IQ_LASTSALEPRICE",INDEX(MO_SNA_FPStartDate,0,COLUMN()),INDEX(MO_Common_QEndDate,0,COLUMN()))),"N/A")</f>
        <v>N/A</v>
      </c>
      <c r="AS877" s="585" t="str">
        <f ca="1">IFERROR(IF(INDEX(MO_Common_QEndDate,0,COLUMN())&gt;TODAY(),CIQ("$"&amp;HP.TradeCurrency&amp;MO.ReportCurrency,"IQ_LASTSALEPRICE"),CIQAVG("$"&amp;HP.TradeCurrency&amp;MO.ReportCurrency,"IQ_LASTSALEPRICE",INDEX(MO_SNA_FPStartDate,0,COLUMN()),INDEX(MO_Common_QEndDate,0,COLUMN()))),"N/A")</f>
        <v>N/A</v>
      </c>
      <c r="AT877" s="585" t="str">
        <f ca="1">IFERROR(IF(INDEX(MO_Common_QEndDate,0,COLUMN())&gt;TODAY(),CIQ("$"&amp;HP.TradeCurrency&amp;MO.ReportCurrency,"IQ_LASTSALEPRICE"),CIQAVG("$"&amp;HP.TradeCurrency&amp;MO.ReportCurrency,"IQ_LASTSALEPRICE",INDEX(MO_SNA_FPStartDate,0,COLUMN()),INDEX(MO_Common_QEndDate,0,COLUMN()))),"N/A")</f>
        <v>N/A</v>
      </c>
      <c r="AU877" s="585" t="str">
        <f ca="1">IFERROR(IF(INDEX(MO_Common_QEndDate,0,COLUMN())&gt;TODAY(),CIQ("$"&amp;HP.TradeCurrency&amp;MO.ReportCurrency,"IQ_LASTSALEPRICE"),CIQAVG("$"&amp;HP.TradeCurrency&amp;MO.ReportCurrency,"IQ_LASTSALEPRICE",INDEX(MO_SNA_FPStartDate,0,COLUMN()),INDEX(MO_Common_QEndDate,0,COLUMN()))),"N/A")</f>
        <v>N/A</v>
      </c>
      <c r="AV877" s="585" t="str">
        <f ca="1">IFERROR(IF(INDEX(MO_Common_QEndDate,0,COLUMN())&gt;TODAY(),CIQ("$"&amp;HP.TradeCurrency&amp;MO.ReportCurrency,"IQ_LASTSALEPRICE"),CIQAVG("$"&amp;HP.TradeCurrency&amp;MO.ReportCurrency,"IQ_LASTSALEPRICE",INDEX(MO_SNA_FPStartDate,0,COLUMN()),INDEX(MO_Common_QEndDate,0,COLUMN()))),"N/A")</f>
        <v>N/A</v>
      </c>
      <c r="AW877" s="753" t="str">
        <f ca="1">IFERROR(IF(INDEX(MO_Common_QEndDate,0,COLUMN())&gt;TODAY(),CIQ("$"&amp;HP.TradeCurrency&amp;MO.ReportCurrency,"IQ_LASTSALEPRICE"),CIQAVG("$"&amp;HP.TradeCurrency&amp;MO.ReportCurrency,"IQ_LASTSALEPRICE",INDEX(MO_SNA_FPStartDate,0,COLUMN()),INDEX(MO_Common_QEndDate,0,COLUMN()))),"N/A")</f>
        <v>N/A</v>
      </c>
      <c r="AX877" s="585" t="str">
        <f ca="1">IFERROR(IF(INDEX(MO_Common_QEndDate,0,COLUMN())&gt;TODAY(),CIQ("$"&amp;HP.TradeCurrency&amp;MO.ReportCurrency,"IQ_LASTSALEPRICE"),CIQAVG("$"&amp;HP.TradeCurrency&amp;MO.ReportCurrency,"IQ_LASTSALEPRICE",INDEX(MO_SNA_FPStartDate,0,COLUMN()),INDEX(MO_Common_QEndDate,0,COLUMN()))),"N/A")</f>
        <v>N/A</v>
      </c>
      <c r="AY877" s="585" t="str">
        <f ca="1">IFERROR(IF(INDEX(MO_Common_QEndDate,0,COLUMN())&gt;TODAY(),CIQ("$"&amp;HP.TradeCurrency&amp;MO.ReportCurrency,"IQ_LASTSALEPRICE"),CIQAVG("$"&amp;HP.TradeCurrency&amp;MO.ReportCurrency,"IQ_LASTSALEPRICE",INDEX(MO_SNA_FPStartDate,0,COLUMN()),INDEX(MO_Common_QEndDate,0,COLUMN()))),"N/A")</f>
        <v>N/A</v>
      </c>
      <c r="AZ877" s="585" t="str">
        <f ca="1">IFERROR(IF(INDEX(MO_Common_QEndDate,0,COLUMN())&gt;TODAY(),CIQ("$"&amp;HP.TradeCurrency&amp;MO.ReportCurrency,"IQ_LASTSALEPRICE"),CIQAVG("$"&amp;HP.TradeCurrency&amp;MO.ReportCurrency,"IQ_LASTSALEPRICE",INDEX(MO_SNA_FPStartDate,0,COLUMN()),INDEX(MO_Common_QEndDate,0,COLUMN()))),"N/A")</f>
        <v>N/A</v>
      </c>
      <c r="BA877" s="585" t="str">
        <f ca="1">IFERROR(IF(INDEX(MO_Common_QEndDate,0,COLUMN())&gt;TODAY(),CIQ("$"&amp;HP.TradeCurrency&amp;MO.ReportCurrency,"IQ_LASTSALEPRICE"),CIQAVG("$"&amp;HP.TradeCurrency&amp;MO.ReportCurrency,"IQ_LASTSALEPRICE",INDEX(MO_SNA_FPStartDate,0,COLUMN()),INDEX(MO_Common_QEndDate,0,COLUMN()))),"N/A")</f>
        <v>N/A</v>
      </c>
      <c r="BB877" s="585" t="str">
        <f ca="1">IFERROR(IF(INDEX(MO_Common_QEndDate,0,COLUMN())&gt;TODAY(),CIQ("$"&amp;HP.TradeCurrency&amp;MO.ReportCurrency,"IQ_LASTSALEPRICE"),CIQAVG("$"&amp;HP.TradeCurrency&amp;MO.ReportCurrency,"IQ_LASTSALEPRICE",INDEX(MO_SNA_FPStartDate,0,COLUMN()),INDEX(MO_Common_QEndDate,0,COLUMN()))),"N/A")</f>
        <v>N/A</v>
      </c>
      <c r="BC877" s="585" t="str">
        <f ca="1">IFERROR(IF(INDEX(MO_Common_QEndDate,0,COLUMN())&gt;TODAY(),CIQ("$"&amp;HP.TradeCurrency&amp;MO.ReportCurrency,"IQ_LASTSALEPRICE"),CIQAVG("$"&amp;HP.TradeCurrency&amp;MO.ReportCurrency,"IQ_LASTSALEPRICE",INDEX(MO_SNA_FPStartDate,0,COLUMN()),INDEX(MO_Common_QEndDate,0,COLUMN()))),"N/A")</f>
        <v>N/A</v>
      </c>
      <c r="BD877" s="585" t="str">
        <f ca="1">IFERROR(IF(INDEX(MO_Common_QEndDate,0,COLUMN())&gt;TODAY(),CIQ("$"&amp;HP.TradeCurrency&amp;MO.ReportCurrency,"IQ_LASTSALEPRICE"),CIQAVG("$"&amp;HP.TradeCurrency&amp;MO.ReportCurrency,"IQ_LASTSALEPRICE",INDEX(MO_SNA_FPStartDate,0,COLUMN()),INDEX(MO_Common_QEndDate,0,COLUMN()))),"N/A")</f>
        <v>N/A</v>
      </c>
      <c r="BE877" s="585" t="str">
        <f ca="1">IFERROR(IF(INDEX(MO_Common_QEndDate,0,COLUMN())&gt;TODAY(),CIQ("$"&amp;HP.TradeCurrency&amp;MO.ReportCurrency,"IQ_LASTSALEPRICE"),CIQAVG("$"&amp;HP.TradeCurrency&amp;MO.ReportCurrency,"IQ_LASTSALEPRICE",INDEX(MO_SNA_FPStartDate,0,COLUMN()),INDEX(MO_Common_QEndDate,0,COLUMN()))),"N/A")</f>
        <v>N/A</v>
      </c>
      <c r="BF877" s="585" t="str">
        <f ca="1">IFERROR(IF(INDEX(MO_Common_QEndDate,0,COLUMN())&gt;TODAY(),CIQ("$"&amp;HP.TradeCurrency&amp;MO.ReportCurrency,"IQ_LASTSALEPRICE"),CIQAVG("$"&amp;HP.TradeCurrency&amp;MO.ReportCurrency,"IQ_LASTSALEPRICE",INDEX(MO_SNA_FPStartDate,0,COLUMN()),INDEX(MO_Common_QEndDate,0,COLUMN()))),"N/A")</f>
        <v>N/A</v>
      </c>
      <c r="BG877" s="585" t="str">
        <f ca="1">IFERROR(IF(INDEX(MO_Common_QEndDate,0,COLUMN())&gt;TODAY(),CIQ("$"&amp;HP.TradeCurrency&amp;MO.ReportCurrency,"IQ_LASTSALEPRICE"),CIQAVG("$"&amp;HP.TradeCurrency&amp;MO.ReportCurrency,"IQ_LASTSALEPRICE",INDEX(MO_SNA_FPStartDate,0,COLUMN()),INDEX(MO_Common_QEndDate,0,COLUMN()))),"N/A")</f>
        <v>N/A</v>
      </c>
      <c r="BH877" s="477"/>
    </row>
    <row r="878" spans="1:60" s="419" customFormat="1" hidden="1" outlineLevel="1" x14ac:dyDescent="0.25">
      <c r="A878" s="420" t="s">
        <v>334</v>
      </c>
      <c r="B878" s="585"/>
      <c r="C878" s="584" t="str">
        <f ca="1">IFERROR(IF(INDEX(MO_Common_QEndDate,0,COLUMN())&gt;TODAY(),FDS(MO.ReportCurrency&amp;HP.TradeCurrency,"FG_PRICE(NOW)"),FDS(MO.ReportCurrency&amp;HP.TradeCurrency,"P_PRICE_AVG("&amp;INDEX(MO_SNA_FPStartDate,0,COLUMN())&amp;","&amp;INDEX(MO_Common_QEndDate,0,COLUMN())&amp;",,,,0)")),"N/A")</f>
        <v>N/A</v>
      </c>
      <c r="D878" s="584" t="str">
        <f ca="1">IFERROR(IF(INDEX(MO_Common_QEndDate,0,COLUMN())&gt;TODAY(),FDS(MO.ReportCurrency&amp;HP.TradeCurrency,"FG_PRICE(NOW)"),FDS(MO.ReportCurrency&amp;HP.TradeCurrency,"P_PRICE_AVG("&amp;INDEX(MO_SNA_FPStartDate,0,COLUMN())&amp;","&amp;INDEX(MO_Common_QEndDate,0,COLUMN())&amp;",,,,0)")),"N/A")</f>
        <v>N/A</v>
      </c>
      <c r="E878" s="585" t="str">
        <f ca="1">IFERROR(IF(INDEX(MO_Common_QEndDate,0,COLUMN())&gt;TODAY(),FDS(MO.ReportCurrency&amp;HP.TradeCurrency,"FG_PRICE(NOW)"),FDS(MO.ReportCurrency&amp;HP.TradeCurrency,"P_PRICE_AVG("&amp;INDEX(MO_SNA_FPStartDate,0,COLUMN())&amp;","&amp;INDEX(MO_Common_QEndDate,0,COLUMN())&amp;",,,,0)")),"N/A")</f>
        <v>N/A</v>
      </c>
      <c r="F878" s="585" t="str">
        <f ca="1">IFERROR(IF(INDEX(MO_Common_QEndDate,0,COLUMN())&gt;TODAY(),FDS(MO.ReportCurrency&amp;HP.TradeCurrency,"FG_PRICE(NOW)"),FDS(MO.ReportCurrency&amp;HP.TradeCurrency,"P_PRICE_AVG("&amp;INDEX(MO_SNA_FPStartDate,0,COLUMN())&amp;","&amp;INDEX(MO_Common_QEndDate,0,COLUMN())&amp;",,,,0)")),"N/A")</f>
        <v>N/A</v>
      </c>
      <c r="G878" s="585" t="str">
        <f ca="1">IFERROR(IF(INDEX(MO_Common_QEndDate,0,COLUMN())&gt;TODAY(),FDS(MO.ReportCurrency&amp;HP.TradeCurrency,"FG_PRICE(NOW)"),FDS(MO.ReportCurrency&amp;HP.TradeCurrency,"P_PRICE_AVG("&amp;INDEX(MO_SNA_FPStartDate,0,COLUMN())&amp;","&amp;INDEX(MO_Common_QEndDate,0,COLUMN())&amp;",,,,0)")),"N/A")</f>
        <v>N/A</v>
      </c>
      <c r="H878" s="585" t="str">
        <f ca="1">IFERROR(IF(INDEX(MO_Common_QEndDate,0,COLUMN())&gt;TODAY(),FDS(MO.ReportCurrency&amp;HP.TradeCurrency,"FG_PRICE(NOW)"),FDS(MO.ReportCurrency&amp;HP.TradeCurrency,"P_PRICE_AVG("&amp;INDEX(MO_SNA_FPStartDate,0,COLUMN())&amp;","&amp;INDEX(MO_Common_QEndDate,0,COLUMN())&amp;",,,,0)")),"N/A")</f>
        <v>N/A</v>
      </c>
      <c r="I878" s="585" t="str">
        <f ca="1">IFERROR(IF(INDEX(MO_Common_QEndDate,0,COLUMN())&gt;TODAY(),FDS(MO.ReportCurrency&amp;HP.TradeCurrency,"FG_PRICE(NOW)"),FDS(MO.ReportCurrency&amp;HP.TradeCurrency,"P_PRICE_AVG("&amp;INDEX(MO_SNA_FPStartDate,0,COLUMN())&amp;","&amp;INDEX(MO_Common_QEndDate,0,COLUMN())&amp;",,,,0)")),"N/A")</f>
        <v>N/A</v>
      </c>
      <c r="J878" s="585" t="str">
        <f ca="1">IFERROR(IF(INDEX(MO_Common_QEndDate,0,COLUMN())&gt;TODAY(),FDS(MO.ReportCurrency&amp;HP.TradeCurrency,"FG_PRICE(NOW)"),FDS(MO.ReportCurrency&amp;HP.TradeCurrency,"P_PRICE_AVG("&amp;INDEX(MO_SNA_FPStartDate,0,COLUMN())&amp;","&amp;INDEX(MO_Common_QEndDate,0,COLUMN())&amp;",,,,0)")),"N/A")</f>
        <v>N/A</v>
      </c>
      <c r="K878" s="585" t="str">
        <f ca="1">IFERROR(IF(INDEX(MO_Common_QEndDate,0,COLUMN())&gt;TODAY(),FDS(MO.ReportCurrency&amp;HP.TradeCurrency,"FG_PRICE(NOW)"),FDS(MO.ReportCurrency&amp;HP.TradeCurrency,"P_PRICE_AVG("&amp;INDEX(MO_SNA_FPStartDate,0,COLUMN())&amp;","&amp;INDEX(MO_Common_QEndDate,0,COLUMN())&amp;",,,,0)")),"N/A")</f>
        <v>N/A</v>
      </c>
      <c r="L878" s="585" t="str">
        <f ca="1">IFERROR(IF(INDEX(MO_Common_QEndDate,0,COLUMN())&gt;TODAY(),FDS(MO.ReportCurrency&amp;HP.TradeCurrency,"FG_PRICE(NOW)"),FDS(MO.ReportCurrency&amp;HP.TradeCurrency,"P_PRICE_AVG("&amp;INDEX(MO_SNA_FPStartDate,0,COLUMN())&amp;","&amp;INDEX(MO_Common_QEndDate,0,COLUMN())&amp;",,,,0)")),"N/A")</f>
        <v>N/A</v>
      </c>
      <c r="M878" s="585" t="str">
        <f ca="1">IFERROR(IF(INDEX(MO_Common_QEndDate,0,COLUMN())&gt;TODAY(),FDS(MO.ReportCurrency&amp;HP.TradeCurrency,"FG_PRICE(NOW)"),FDS(MO.ReportCurrency&amp;HP.TradeCurrency,"P_PRICE_AVG("&amp;INDEX(MO_SNA_FPStartDate,0,COLUMN())&amp;","&amp;INDEX(MO_Common_QEndDate,0,COLUMN())&amp;",,,,0)")),"N/A")</f>
        <v>N/A</v>
      </c>
      <c r="N878" s="585" t="str">
        <f ca="1">IFERROR(IF(INDEX(MO_Common_QEndDate,0,COLUMN())&gt;TODAY(),FDS(MO.ReportCurrency&amp;HP.TradeCurrency,"FG_PRICE(NOW)"),FDS(MO.ReportCurrency&amp;HP.TradeCurrency,"P_PRICE_AVG("&amp;INDEX(MO_SNA_FPStartDate,0,COLUMN())&amp;","&amp;INDEX(MO_Common_QEndDate,0,COLUMN())&amp;",,,,0)")),"N/A")</f>
        <v>N/A</v>
      </c>
      <c r="O878" s="585" t="str">
        <f ca="1">IFERROR(IF(INDEX(MO_Common_QEndDate,0,COLUMN())&gt;TODAY(),FDS(MO.ReportCurrency&amp;HP.TradeCurrency,"FG_PRICE(NOW)"),FDS(MO.ReportCurrency&amp;HP.TradeCurrency,"P_PRICE_AVG("&amp;INDEX(MO_SNA_FPStartDate,0,COLUMN())&amp;","&amp;INDEX(MO_Common_QEndDate,0,COLUMN())&amp;",,,,0)")),"N/A")</f>
        <v>N/A</v>
      </c>
      <c r="P878" s="585" t="str">
        <f ca="1">IFERROR(IF(INDEX(MO_Common_QEndDate,0,COLUMN())&gt;TODAY(),FDS(MO.ReportCurrency&amp;HP.TradeCurrency,"FG_PRICE(NOW)"),FDS(MO.ReportCurrency&amp;HP.TradeCurrency,"P_PRICE_AVG("&amp;INDEX(MO_SNA_FPStartDate,0,COLUMN())&amp;","&amp;INDEX(MO_Common_QEndDate,0,COLUMN())&amp;",,,,0)")),"N/A")</f>
        <v>N/A</v>
      </c>
      <c r="Q878" s="585" t="str">
        <f ca="1">IFERROR(IF(INDEX(MO_Common_QEndDate,0,COLUMN())&gt;TODAY(),FDS(MO.ReportCurrency&amp;HP.TradeCurrency,"FG_PRICE(NOW)"),FDS(MO.ReportCurrency&amp;HP.TradeCurrency,"P_PRICE_AVG("&amp;INDEX(MO_SNA_FPStartDate,0,COLUMN())&amp;","&amp;INDEX(MO_Common_QEndDate,0,COLUMN())&amp;",,,,0)")),"N/A")</f>
        <v>N/A</v>
      </c>
      <c r="R878" s="585" t="str">
        <f ca="1">IFERROR(IF(INDEX(MO_Common_QEndDate,0,COLUMN())&gt;TODAY(),FDS(MO.ReportCurrency&amp;HP.TradeCurrency,"FG_PRICE(NOW)"),FDS(MO.ReportCurrency&amp;HP.TradeCurrency,"P_PRICE_AVG("&amp;INDEX(MO_SNA_FPStartDate,0,COLUMN())&amp;","&amp;INDEX(MO_Common_QEndDate,0,COLUMN())&amp;",,,,0)")),"N/A")</f>
        <v>N/A</v>
      </c>
      <c r="S878" s="585" t="str">
        <f ca="1">IFERROR(IF(INDEX(MO_Common_QEndDate,0,COLUMN())&gt;TODAY(),FDS(MO.ReportCurrency&amp;HP.TradeCurrency,"FG_PRICE(NOW)"),FDS(MO.ReportCurrency&amp;HP.TradeCurrency,"P_PRICE_AVG("&amp;INDEX(MO_SNA_FPStartDate,0,COLUMN())&amp;","&amp;INDEX(MO_Common_QEndDate,0,COLUMN())&amp;",,,,0)")),"N/A")</f>
        <v>N/A</v>
      </c>
      <c r="T878" s="585" t="str">
        <f ca="1">IFERROR(IF(INDEX(MO_Common_QEndDate,0,COLUMN())&gt;TODAY(),FDS(MO.ReportCurrency&amp;HP.TradeCurrency,"FG_PRICE(NOW)"),FDS(MO.ReportCurrency&amp;HP.TradeCurrency,"P_PRICE_AVG("&amp;INDEX(MO_SNA_FPStartDate,0,COLUMN())&amp;","&amp;INDEX(MO_Common_QEndDate,0,COLUMN())&amp;",,,,0)")),"N/A")</f>
        <v>N/A</v>
      </c>
      <c r="U878" s="585" t="str">
        <f ca="1">IFERROR(IF(INDEX(MO_Common_QEndDate,0,COLUMN())&gt;TODAY(),FDS(MO.ReportCurrency&amp;HP.TradeCurrency,"FG_PRICE(NOW)"),FDS(MO.ReportCurrency&amp;HP.TradeCurrency,"P_PRICE_AVG("&amp;INDEX(MO_SNA_FPStartDate,0,COLUMN())&amp;","&amp;INDEX(MO_Common_QEndDate,0,COLUMN())&amp;",,,,0)")),"N/A")</f>
        <v>N/A</v>
      </c>
      <c r="V878" s="585" t="str">
        <f ca="1">IFERROR(IF(INDEX(MO_Common_QEndDate,0,COLUMN())&gt;TODAY(),FDS(MO.ReportCurrency&amp;HP.TradeCurrency,"FG_PRICE(NOW)"),FDS(MO.ReportCurrency&amp;HP.TradeCurrency,"P_PRICE_AVG("&amp;INDEX(MO_SNA_FPStartDate,0,COLUMN())&amp;","&amp;INDEX(MO_Common_QEndDate,0,COLUMN())&amp;",,,,0)")),"N/A")</f>
        <v>N/A</v>
      </c>
      <c r="W878" s="585" t="str">
        <f ca="1">IFERROR(IF(INDEX(MO_Common_QEndDate,0,COLUMN())&gt;TODAY(),FDS(MO.ReportCurrency&amp;HP.TradeCurrency,"FG_PRICE(NOW)"),FDS(MO.ReportCurrency&amp;HP.TradeCurrency,"P_PRICE_AVG("&amp;INDEX(MO_SNA_FPStartDate,0,COLUMN())&amp;","&amp;INDEX(MO_Common_QEndDate,0,COLUMN())&amp;",,,,0)")),"N/A")</f>
        <v>N/A</v>
      </c>
      <c r="X878" s="585" t="str">
        <f ca="1">IFERROR(IF(INDEX(MO_Common_QEndDate,0,COLUMN())&gt;TODAY(),FDS(MO.ReportCurrency&amp;HP.TradeCurrency,"FG_PRICE(NOW)"),FDS(MO.ReportCurrency&amp;HP.TradeCurrency,"P_PRICE_AVG("&amp;INDEX(MO_SNA_FPStartDate,0,COLUMN())&amp;","&amp;INDEX(MO_Common_QEndDate,0,COLUMN())&amp;",,,,0)")),"N/A")</f>
        <v>N/A</v>
      </c>
      <c r="Y878" s="585" t="str">
        <f ca="1">IFERROR(IF(INDEX(MO_Common_QEndDate,0,COLUMN())&gt;TODAY(),FDS(MO.ReportCurrency&amp;HP.TradeCurrency,"FG_PRICE(NOW)"),FDS(MO.ReportCurrency&amp;HP.TradeCurrency,"P_PRICE_AVG("&amp;INDEX(MO_SNA_FPStartDate,0,COLUMN())&amp;","&amp;INDEX(MO_Common_QEndDate,0,COLUMN())&amp;",,,,0)")),"N/A")</f>
        <v>N/A</v>
      </c>
      <c r="Z878" s="585" t="str">
        <f ca="1">IFERROR(IF(INDEX(MO_Common_QEndDate,0,COLUMN())&gt;TODAY(),FDS(MO.ReportCurrency&amp;HP.TradeCurrency,"FG_PRICE(NOW)"),FDS(MO.ReportCurrency&amp;HP.TradeCurrency,"P_PRICE_AVG("&amp;INDEX(MO_SNA_FPStartDate,0,COLUMN())&amp;","&amp;INDEX(MO_Common_QEndDate,0,COLUMN())&amp;",,,,0)")),"N/A")</f>
        <v>N/A</v>
      </c>
      <c r="AA878" s="585" t="str">
        <f ca="1">IFERROR(IF(INDEX(MO_Common_QEndDate,0,COLUMN())&gt;TODAY(),FDS(MO.ReportCurrency&amp;HP.TradeCurrency,"FG_PRICE(NOW)"),FDS(MO.ReportCurrency&amp;HP.TradeCurrency,"P_PRICE_AVG("&amp;INDEX(MO_SNA_FPStartDate,0,COLUMN())&amp;","&amp;INDEX(MO_Common_QEndDate,0,COLUMN())&amp;",,,,0)")),"N/A")</f>
        <v>N/A</v>
      </c>
      <c r="AB878" s="585" t="str">
        <f ca="1">IFERROR(IF(INDEX(MO_Common_QEndDate,0,COLUMN())&gt;TODAY(),FDS(MO.ReportCurrency&amp;HP.TradeCurrency,"FG_PRICE(NOW)"),FDS(MO.ReportCurrency&amp;HP.TradeCurrency,"P_PRICE_AVG("&amp;INDEX(MO_SNA_FPStartDate,0,COLUMN())&amp;","&amp;INDEX(MO_Common_QEndDate,0,COLUMN())&amp;",,,,0)")),"N/A")</f>
        <v>N/A</v>
      </c>
      <c r="AC878" s="585" t="str">
        <f ca="1">IFERROR(IF(INDEX(MO_Common_QEndDate,0,COLUMN())&gt;TODAY(),FDS(MO.ReportCurrency&amp;HP.TradeCurrency,"FG_PRICE(NOW)"),FDS(MO.ReportCurrency&amp;HP.TradeCurrency,"P_PRICE_AVG("&amp;INDEX(MO_SNA_FPStartDate,0,COLUMN())&amp;","&amp;INDEX(MO_Common_QEndDate,0,COLUMN())&amp;",,,,0)")),"N/A")</f>
        <v>N/A</v>
      </c>
      <c r="AD878" s="585" t="str">
        <f ca="1">IFERROR(IF(INDEX(MO_Common_QEndDate,0,COLUMN())&gt;TODAY(),FDS(MO.ReportCurrency&amp;HP.TradeCurrency,"FG_PRICE(NOW)"),FDS(MO.ReportCurrency&amp;HP.TradeCurrency,"P_PRICE_AVG("&amp;INDEX(MO_SNA_FPStartDate,0,COLUMN())&amp;","&amp;INDEX(MO_Common_QEndDate,0,COLUMN())&amp;",,,,0)")),"N/A")</f>
        <v>N/A</v>
      </c>
      <c r="AE878" s="585" t="str">
        <f ca="1">IFERROR(IF(INDEX(MO_Common_QEndDate,0,COLUMN())&gt;TODAY(),FDS(MO.ReportCurrency&amp;HP.TradeCurrency,"FG_PRICE(NOW)"),FDS(MO.ReportCurrency&amp;HP.TradeCurrency,"P_PRICE_AVG("&amp;INDEX(MO_SNA_FPStartDate,0,COLUMN())&amp;","&amp;INDEX(MO_Common_QEndDate,0,COLUMN())&amp;",,,,0)")),"N/A")</f>
        <v>N/A</v>
      </c>
      <c r="AF878" s="585" t="str">
        <f ca="1">IFERROR(IF(INDEX(MO_Common_QEndDate,0,COLUMN())&gt;TODAY(),FDS(MO.ReportCurrency&amp;HP.TradeCurrency,"FG_PRICE(NOW)"),FDS(MO.ReportCurrency&amp;HP.TradeCurrency,"P_PRICE_AVG("&amp;INDEX(MO_SNA_FPStartDate,0,COLUMN())&amp;","&amp;INDEX(MO_Common_QEndDate,0,COLUMN())&amp;",,,,0)")),"N/A")</f>
        <v>N/A</v>
      </c>
      <c r="AG878" s="585" t="str">
        <f ca="1">IFERROR(IF(INDEX(MO_Common_QEndDate,0,COLUMN())&gt;TODAY(),FDS(MO.ReportCurrency&amp;HP.TradeCurrency,"FG_PRICE(NOW)"),FDS(MO.ReportCurrency&amp;HP.TradeCurrency,"P_PRICE_AVG("&amp;INDEX(MO_SNA_FPStartDate,0,COLUMN())&amp;","&amp;INDEX(MO_Common_QEndDate,0,COLUMN())&amp;",,,,0)")),"N/A")</f>
        <v>N/A</v>
      </c>
      <c r="AH878" s="585" t="str">
        <f ca="1">IFERROR(IF(INDEX(MO_Common_QEndDate,0,COLUMN())&gt;TODAY(),FDS(MO.ReportCurrency&amp;HP.TradeCurrency,"FG_PRICE(NOW)"),FDS(MO.ReportCurrency&amp;HP.TradeCurrency,"P_PRICE_AVG("&amp;INDEX(MO_SNA_FPStartDate,0,COLUMN())&amp;","&amp;INDEX(MO_Common_QEndDate,0,COLUMN())&amp;",,,,0)")),"N/A")</f>
        <v>N/A</v>
      </c>
      <c r="AI878" s="585" t="str">
        <f ca="1">IFERROR(IF(INDEX(MO_Common_QEndDate,0,COLUMN())&gt;TODAY(),FDS(MO.ReportCurrency&amp;HP.TradeCurrency,"FG_PRICE(NOW)"),FDS(MO.ReportCurrency&amp;HP.TradeCurrency,"P_PRICE_AVG("&amp;INDEX(MO_SNA_FPStartDate,0,COLUMN())&amp;","&amp;INDEX(MO_Common_QEndDate,0,COLUMN())&amp;",,,,0)")),"N/A")</f>
        <v>N/A</v>
      </c>
      <c r="AJ878" s="585" t="str">
        <f ca="1">IFERROR(IF(INDEX(MO_Common_QEndDate,0,COLUMN())&gt;TODAY(),FDS(MO.ReportCurrency&amp;HP.TradeCurrency,"FG_PRICE(NOW)"),FDS(MO.ReportCurrency&amp;HP.TradeCurrency,"P_PRICE_AVG("&amp;INDEX(MO_SNA_FPStartDate,0,COLUMN())&amp;","&amp;INDEX(MO_Common_QEndDate,0,COLUMN())&amp;",,,,0)")),"N/A")</f>
        <v>N/A</v>
      </c>
      <c r="AK878" s="585" t="str">
        <f ca="1">IFERROR(IF(INDEX(MO_Common_QEndDate,0,COLUMN())&gt;TODAY(),FDS(MO.ReportCurrency&amp;HP.TradeCurrency,"FG_PRICE(NOW)"),FDS(MO.ReportCurrency&amp;HP.TradeCurrency,"P_PRICE_AVG("&amp;INDEX(MO_SNA_FPStartDate,0,COLUMN())&amp;","&amp;INDEX(MO_Common_QEndDate,0,COLUMN())&amp;",,,,0)")),"N/A")</f>
        <v>N/A</v>
      </c>
      <c r="AL878" s="585" t="str">
        <f ca="1">IFERROR(IF(INDEX(MO_Common_QEndDate,0,COLUMN())&gt;TODAY(),FDS(MO.ReportCurrency&amp;HP.TradeCurrency,"FG_PRICE(NOW)"),FDS(MO.ReportCurrency&amp;HP.TradeCurrency,"P_PRICE_AVG("&amp;INDEX(MO_SNA_FPStartDate,0,COLUMN())&amp;","&amp;INDEX(MO_Common_QEndDate,0,COLUMN())&amp;",,,,0)")),"N/A")</f>
        <v>N/A</v>
      </c>
      <c r="AM878" s="585" t="str">
        <f ca="1">IFERROR(IF(INDEX(MO_Common_QEndDate,0,COLUMN())&gt;TODAY(),FDS(MO.ReportCurrency&amp;HP.TradeCurrency,"FG_PRICE(NOW)"),FDS(MO.ReportCurrency&amp;HP.TradeCurrency,"P_PRICE_AVG("&amp;INDEX(MO_SNA_FPStartDate,0,COLUMN())&amp;","&amp;INDEX(MO_Common_QEndDate,0,COLUMN())&amp;",,,,0)")),"N/A")</f>
        <v>N/A</v>
      </c>
      <c r="AN878" s="585" t="str">
        <f ca="1">IFERROR(IF(INDEX(MO_Common_QEndDate,0,COLUMN())&gt;TODAY(),FDS(MO.ReportCurrency&amp;HP.TradeCurrency,"FG_PRICE(NOW)"),FDS(MO.ReportCurrency&amp;HP.TradeCurrency,"P_PRICE_AVG("&amp;INDEX(MO_SNA_FPStartDate,0,COLUMN())&amp;","&amp;INDEX(MO_Common_QEndDate,0,COLUMN())&amp;",,,,0)")),"N/A")</f>
        <v>N/A</v>
      </c>
      <c r="AO878" s="585" t="str">
        <f ca="1">IFERROR(IF(INDEX(MO_Common_QEndDate,0,COLUMN())&gt;TODAY(),FDS(MO.ReportCurrency&amp;HP.TradeCurrency,"FG_PRICE(NOW)"),FDS(MO.ReportCurrency&amp;HP.TradeCurrency,"P_PRICE_AVG("&amp;INDEX(MO_SNA_FPStartDate,0,COLUMN())&amp;","&amp;INDEX(MO_Common_QEndDate,0,COLUMN())&amp;",,,,0)")),"N/A")</f>
        <v>N/A</v>
      </c>
      <c r="AP878" s="585" t="str">
        <f ca="1">IFERROR(IF(INDEX(MO_Common_QEndDate,0,COLUMN())&gt;TODAY(),FDS(MO.ReportCurrency&amp;HP.TradeCurrency,"FG_PRICE(NOW)"),FDS(MO.ReportCurrency&amp;HP.TradeCurrency,"P_PRICE_AVG("&amp;INDEX(MO_SNA_FPStartDate,0,COLUMN())&amp;","&amp;INDEX(MO_Common_QEndDate,0,COLUMN())&amp;",,,,0)")),"N/A")</f>
        <v>N/A</v>
      </c>
      <c r="AQ878" s="585" t="str">
        <f ca="1">IFERROR(IF(INDEX(MO_Common_QEndDate,0,COLUMN())&gt;TODAY(),FDS(MO.ReportCurrency&amp;HP.TradeCurrency,"FG_PRICE(NOW)"),FDS(MO.ReportCurrency&amp;HP.TradeCurrency,"P_PRICE_AVG("&amp;INDEX(MO_SNA_FPStartDate,0,COLUMN())&amp;","&amp;INDEX(MO_Common_QEndDate,0,COLUMN())&amp;",,,,0)")),"N/A")</f>
        <v>N/A</v>
      </c>
      <c r="AR878" s="585" t="str">
        <f ca="1">IFERROR(IF(INDEX(MO_Common_QEndDate,0,COLUMN())&gt;TODAY(),FDS(MO.ReportCurrency&amp;HP.TradeCurrency,"FG_PRICE(NOW)"),FDS(MO.ReportCurrency&amp;HP.TradeCurrency,"P_PRICE_AVG("&amp;INDEX(MO_SNA_FPStartDate,0,COLUMN())&amp;","&amp;INDEX(MO_Common_QEndDate,0,COLUMN())&amp;",,,,0)")),"N/A")</f>
        <v>N/A</v>
      </c>
      <c r="AS878" s="585" t="str">
        <f ca="1">IFERROR(IF(INDEX(MO_Common_QEndDate,0,COLUMN())&gt;TODAY(),FDS(MO.ReportCurrency&amp;HP.TradeCurrency,"FG_PRICE(NOW)"),FDS(MO.ReportCurrency&amp;HP.TradeCurrency,"P_PRICE_AVG("&amp;INDEX(MO_SNA_FPStartDate,0,COLUMN())&amp;","&amp;INDEX(MO_Common_QEndDate,0,COLUMN())&amp;",,,,0)")),"N/A")</f>
        <v>N/A</v>
      </c>
      <c r="AT878" s="585" t="str">
        <f ca="1">IFERROR(IF(INDEX(MO_Common_QEndDate,0,COLUMN())&gt;TODAY(),FDS(MO.ReportCurrency&amp;HP.TradeCurrency,"FG_PRICE(NOW)"),FDS(MO.ReportCurrency&amp;HP.TradeCurrency,"P_PRICE_AVG("&amp;INDEX(MO_SNA_FPStartDate,0,COLUMN())&amp;","&amp;INDEX(MO_Common_QEndDate,0,COLUMN())&amp;",,,,0)")),"N/A")</f>
        <v>N/A</v>
      </c>
      <c r="AU878" s="585" t="str">
        <f ca="1">IFERROR(IF(INDEX(MO_Common_QEndDate,0,COLUMN())&gt;TODAY(),FDS(MO.ReportCurrency&amp;HP.TradeCurrency,"FG_PRICE(NOW)"),FDS(MO.ReportCurrency&amp;HP.TradeCurrency,"P_PRICE_AVG("&amp;INDEX(MO_SNA_FPStartDate,0,COLUMN())&amp;","&amp;INDEX(MO_Common_QEndDate,0,COLUMN())&amp;",,,,0)")),"N/A")</f>
        <v>N/A</v>
      </c>
      <c r="AV878" s="585" t="str">
        <f ca="1">IFERROR(IF(INDEX(MO_Common_QEndDate,0,COLUMN())&gt;TODAY(),FDS(MO.ReportCurrency&amp;HP.TradeCurrency,"FG_PRICE(NOW)"),FDS(MO.ReportCurrency&amp;HP.TradeCurrency,"P_PRICE_AVG("&amp;INDEX(MO_SNA_FPStartDate,0,COLUMN())&amp;","&amp;INDEX(MO_Common_QEndDate,0,COLUMN())&amp;",,,,0)")),"N/A")</f>
        <v>N/A</v>
      </c>
      <c r="AW878" s="753" t="str">
        <f ca="1">IFERROR(IF(INDEX(MO_Common_QEndDate,0,COLUMN())&gt;TODAY(),FDS(MO.ReportCurrency&amp;HP.TradeCurrency,"FG_PRICE(NOW)"),FDS(MO.ReportCurrency&amp;HP.TradeCurrency,"P_PRICE_AVG("&amp;INDEX(MO_SNA_FPStartDate,0,COLUMN())&amp;","&amp;INDEX(MO_Common_QEndDate,0,COLUMN())&amp;",,,,0)")),"N/A")</f>
        <v>N/A</v>
      </c>
      <c r="AX878" s="585" t="str">
        <f ca="1">IFERROR(IF(INDEX(MO_Common_QEndDate,0,COLUMN())&gt;TODAY(),FDS(MO.ReportCurrency&amp;HP.TradeCurrency,"FG_PRICE(NOW)"),FDS(MO.ReportCurrency&amp;HP.TradeCurrency,"P_PRICE_AVG("&amp;INDEX(MO_SNA_FPStartDate,0,COLUMN())&amp;","&amp;INDEX(MO_Common_QEndDate,0,COLUMN())&amp;",,,,0)")),"N/A")</f>
        <v>N/A</v>
      </c>
      <c r="AY878" s="585" t="str">
        <f ca="1">IFERROR(IF(INDEX(MO_Common_QEndDate,0,COLUMN())&gt;TODAY(),FDS(MO.ReportCurrency&amp;HP.TradeCurrency,"FG_PRICE(NOW)"),FDS(MO.ReportCurrency&amp;HP.TradeCurrency,"P_PRICE_AVG("&amp;INDEX(MO_SNA_FPStartDate,0,COLUMN())&amp;","&amp;INDEX(MO_Common_QEndDate,0,COLUMN())&amp;",,,,0)")),"N/A")</f>
        <v>N/A</v>
      </c>
      <c r="AZ878" s="585" t="str">
        <f ca="1">IFERROR(IF(INDEX(MO_Common_QEndDate,0,COLUMN())&gt;TODAY(),FDS(MO.ReportCurrency&amp;HP.TradeCurrency,"FG_PRICE(NOW)"),FDS(MO.ReportCurrency&amp;HP.TradeCurrency,"P_PRICE_AVG("&amp;INDEX(MO_SNA_FPStartDate,0,COLUMN())&amp;","&amp;INDEX(MO_Common_QEndDate,0,COLUMN())&amp;",,,,0)")),"N/A")</f>
        <v>N/A</v>
      </c>
      <c r="BA878" s="585" t="str">
        <f ca="1">IFERROR(IF(INDEX(MO_Common_QEndDate,0,COLUMN())&gt;TODAY(),FDS(MO.ReportCurrency&amp;HP.TradeCurrency,"FG_PRICE(NOW)"),FDS(MO.ReportCurrency&amp;HP.TradeCurrency,"P_PRICE_AVG("&amp;INDEX(MO_SNA_FPStartDate,0,COLUMN())&amp;","&amp;INDEX(MO_Common_QEndDate,0,COLUMN())&amp;",,,,0)")),"N/A")</f>
        <v>N/A</v>
      </c>
      <c r="BB878" s="585" t="str">
        <f ca="1">IFERROR(IF(INDEX(MO_Common_QEndDate,0,COLUMN())&gt;TODAY(),FDS(MO.ReportCurrency&amp;HP.TradeCurrency,"FG_PRICE(NOW)"),FDS(MO.ReportCurrency&amp;HP.TradeCurrency,"P_PRICE_AVG("&amp;INDEX(MO_SNA_FPStartDate,0,COLUMN())&amp;","&amp;INDEX(MO_Common_QEndDate,0,COLUMN())&amp;",,,,0)")),"N/A")</f>
        <v>N/A</v>
      </c>
      <c r="BC878" s="585" t="str">
        <f ca="1">IFERROR(IF(INDEX(MO_Common_QEndDate,0,COLUMN())&gt;TODAY(),FDS(MO.ReportCurrency&amp;HP.TradeCurrency,"FG_PRICE(NOW)"),FDS(MO.ReportCurrency&amp;HP.TradeCurrency,"P_PRICE_AVG("&amp;INDEX(MO_SNA_FPStartDate,0,COLUMN())&amp;","&amp;INDEX(MO_Common_QEndDate,0,COLUMN())&amp;",,,,0)")),"N/A")</f>
        <v>N/A</v>
      </c>
      <c r="BD878" s="585" t="str">
        <f ca="1">IFERROR(IF(INDEX(MO_Common_QEndDate,0,COLUMN())&gt;TODAY(),FDS(MO.ReportCurrency&amp;HP.TradeCurrency,"FG_PRICE(NOW)"),FDS(MO.ReportCurrency&amp;HP.TradeCurrency,"P_PRICE_AVG("&amp;INDEX(MO_SNA_FPStartDate,0,COLUMN())&amp;","&amp;INDEX(MO_Common_QEndDate,0,COLUMN())&amp;",,,,0)")),"N/A")</f>
        <v>N/A</v>
      </c>
      <c r="BE878" s="585" t="str">
        <f ca="1">IFERROR(IF(INDEX(MO_Common_QEndDate,0,COLUMN())&gt;TODAY(),FDS(MO.ReportCurrency&amp;HP.TradeCurrency,"FG_PRICE(NOW)"),FDS(MO.ReportCurrency&amp;HP.TradeCurrency,"P_PRICE_AVG("&amp;INDEX(MO_SNA_FPStartDate,0,COLUMN())&amp;","&amp;INDEX(MO_Common_QEndDate,0,COLUMN())&amp;",,,,0)")),"N/A")</f>
        <v>N/A</v>
      </c>
      <c r="BF878" s="585" t="str">
        <f ca="1">IFERROR(IF(INDEX(MO_Common_QEndDate,0,COLUMN())&gt;TODAY(),FDS(MO.ReportCurrency&amp;HP.TradeCurrency,"FG_PRICE(NOW)"),FDS(MO.ReportCurrency&amp;HP.TradeCurrency,"P_PRICE_AVG("&amp;INDEX(MO_SNA_FPStartDate,0,COLUMN())&amp;","&amp;INDEX(MO_Common_QEndDate,0,COLUMN())&amp;",,,,0)")),"N/A")</f>
        <v>N/A</v>
      </c>
      <c r="BG878" s="585" t="str">
        <f ca="1">IFERROR(IF(INDEX(MO_Common_QEndDate,0,COLUMN())&gt;TODAY(),FDS(MO.ReportCurrency&amp;HP.TradeCurrency,"FG_PRICE(NOW)"),FDS(MO.ReportCurrency&amp;HP.TradeCurrency,"P_PRICE_AVG("&amp;INDEX(MO_SNA_FPStartDate,0,COLUMN())&amp;","&amp;INDEX(MO_Common_QEndDate,0,COLUMN())&amp;",,,,0)")),"N/A")</f>
        <v>N/A</v>
      </c>
      <c r="BH878" s="477"/>
    </row>
    <row r="879" spans="1:60" s="419" customFormat="1" hidden="1" outlineLevel="1" x14ac:dyDescent="0.25">
      <c r="A879" s="420" t="s">
        <v>567</v>
      </c>
      <c r="B879" s="585"/>
      <c r="C879" s="584" t="str">
        <f t="shared" ref="C879:AH879" si="931">"N/A"</f>
        <v>N/A</v>
      </c>
      <c r="D879" s="584" t="str">
        <f t="shared" si="931"/>
        <v>N/A</v>
      </c>
      <c r="E879" s="585" t="str">
        <f t="shared" si="931"/>
        <v>N/A</v>
      </c>
      <c r="F879" s="585" t="str">
        <f t="shared" si="931"/>
        <v>N/A</v>
      </c>
      <c r="G879" s="585" t="str">
        <f t="shared" si="931"/>
        <v>N/A</v>
      </c>
      <c r="H879" s="585" t="str">
        <f t="shared" si="931"/>
        <v>N/A</v>
      </c>
      <c r="I879" s="585" t="str">
        <f t="shared" si="931"/>
        <v>N/A</v>
      </c>
      <c r="J879" s="585" t="str">
        <f t="shared" si="931"/>
        <v>N/A</v>
      </c>
      <c r="K879" s="585" t="str">
        <f t="shared" si="931"/>
        <v>N/A</v>
      </c>
      <c r="L879" s="585" t="str">
        <f t="shared" si="931"/>
        <v>N/A</v>
      </c>
      <c r="M879" s="585" t="str">
        <f t="shared" si="931"/>
        <v>N/A</v>
      </c>
      <c r="N879" s="585" t="str">
        <f t="shared" si="931"/>
        <v>N/A</v>
      </c>
      <c r="O879" s="585" t="str">
        <f t="shared" si="931"/>
        <v>N/A</v>
      </c>
      <c r="P879" s="585" t="str">
        <f t="shared" si="931"/>
        <v>N/A</v>
      </c>
      <c r="Q879" s="585" t="str">
        <f t="shared" si="931"/>
        <v>N/A</v>
      </c>
      <c r="R879" s="585" t="str">
        <f t="shared" si="931"/>
        <v>N/A</v>
      </c>
      <c r="S879" s="585" t="str">
        <f t="shared" si="931"/>
        <v>N/A</v>
      </c>
      <c r="T879" s="585" t="str">
        <f t="shared" si="931"/>
        <v>N/A</v>
      </c>
      <c r="U879" s="585" t="str">
        <f t="shared" si="931"/>
        <v>N/A</v>
      </c>
      <c r="V879" s="585" t="str">
        <f t="shared" si="931"/>
        <v>N/A</v>
      </c>
      <c r="W879" s="585" t="str">
        <f t="shared" si="931"/>
        <v>N/A</v>
      </c>
      <c r="X879" s="585" t="str">
        <f t="shared" si="931"/>
        <v>N/A</v>
      </c>
      <c r="Y879" s="585" t="str">
        <f t="shared" si="931"/>
        <v>N/A</v>
      </c>
      <c r="Z879" s="585" t="str">
        <f t="shared" si="931"/>
        <v>N/A</v>
      </c>
      <c r="AA879" s="585" t="str">
        <f t="shared" si="931"/>
        <v>N/A</v>
      </c>
      <c r="AB879" s="585" t="str">
        <f t="shared" si="931"/>
        <v>N/A</v>
      </c>
      <c r="AC879" s="585" t="str">
        <f t="shared" si="931"/>
        <v>N/A</v>
      </c>
      <c r="AD879" s="585" t="str">
        <f t="shared" si="931"/>
        <v>N/A</v>
      </c>
      <c r="AE879" s="585" t="str">
        <f t="shared" si="931"/>
        <v>N/A</v>
      </c>
      <c r="AF879" s="585" t="str">
        <f t="shared" si="931"/>
        <v>N/A</v>
      </c>
      <c r="AG879" s="585" t="str">
        <f t="shared" si="931"/>
        <v>N/A</v>
      </c>
      <c r="AH879" s="585" t="str">
        <f t="shared" si="931"/>
        <v>N/A</v>
      </c>
      <c r="AI879" s="585" t="str">
        <f t="shared" ref="AI879:AY879" si="932">"N/A"</f>
        <v>N/A</v>
      </c>
      <c r="AJ879" s="585" t="str">
        <f t="shared" si="932"/>
        <v>N/A</v>
      </c>
      <c r="AK879" s="585" t="str">
        <f t="shared" si="932"/>
        <v>N/A</v>
      </c>
      <c r="AL879" s="585" t="str">
        <f t="shared" si="932"/>
        <v>N/A</v>
      </c>
      <c r="AM879" s="585" t="str">
        <f t="shared" si="932"/>
        <v>N/A</v>
      </c>
      <c r="AN879" s="585" t="str">
        <f t="shared" si="932"/>
        <v>N/A</v>
      </c>
      <c r="AO879" s="585" t="str">
        <f t="shared" si="932"/>
        <v>N/A</v>
      </c>
      <c r="AP879" s="585" t="str">
        <f t="shared" si="932"/>
        <v>N/A</v>
      </c>
      <c r="AQ879" s="585" t="str">
        <f t="shared" si="932"/>
        <v>N/A</v>
      </c>
      <c r="AR879" s="585" t="str">
        <f>"N/A"</f>
        <v>N/A</v>
      </c>
      <c r="AS879" s="585" t="str">
        <f>"N/A"</f>
        <v>N/A</v>
      </c>
      <c r="AT879" s="585" t="str">
        <f>"N/A"</f>
        <v>N/A</v>
      </c>
      <c r="AU879" s="585" t="str">
        <f t="shared" si="932"/>
        <v>N/A</v>
      </c>
      <c r="AV879" s="585" t="str">
        <f>"N/A"</f>
        <v>N/A</v>
      </c>
      <c r="AW879" s="753" t="str">
        <f>"N/A"</f>
        <v>N/A</v>
      </c>
      <c r="AX879" s="585" t="str">
        <f t="shared" si="932"/>
        <v>N/A</v>
      </c>
      <c r="AY879" s="585" t="str">
        <f t="shared" si="932"/>
        <v>N/A</v>
      </c>
      <c r="AZ879" s="585" t="str">
        <f t="shared" ref="AZ879:BG879" si="933">"N/A"</f>
        <v>N/A</v>
      </c>
      <c r="BA879" s="585" t="str">
        <f t="shared" si="933"/>
        <v>N/A</v>
      </c>
      <c r="BB879" s="585" t="str">
        <f t="shared" si="933"/>
        <v>N/A</v>
      </c>
      <c r="BC879" s="585" t="str">
        <f t="shared" si="933"/>
        <v>N/A</v>
      </c>
      <c r="BD879" s="585" t="str">
        <f t="shared" si="933"/>
        <v>N/A</v>
      </c>
      <c r="BE879" s="585" t="str">
        <f t="shared" si="933"/>
        <v>N/A</v>
      </c>
      <c r="BF879" s="585" t="str">
        <f t="shared" si="933"/>
        <v>N/A</v>
      </c>
      <c r="BG879" s="585" t="str">
        <f t="shared" si="933"/>
        <v>N/A</v>
      </c>
      <c r="BH879" s="477"/>
    </row>
    <row r="880" spans="1:60" collapsed="1" x14ac:dyDescent="0.25">
      <c r="A880" s="380"/>
      <c r="B880" s="353"/>
      <c r="C880" s="352"/>
      <c r="D880" s="352"/>
      <c r="E880" s="353"/>
      <c r="F880" s="353"/>
      <c r="G880" s="353"/>
      <c r="H880" s="353"/>
      <c r="I880" s="353"/>
      <c r="J880" s="353"/>
      <c r="K880" s="353"/>
      <c r="L880" s="353"/>
      <c r="M880" s="353"/>
      <c r="N880" s="353"/>
      <c r="O880" s="353"/>
      <c r="P880" s="382"/>
      <c r="Q880" s="353"/>
      <c r="R880" s="353"/>
      <c r="S880" s="353"/>
      <c r="T880" s="353"/>
      <c r="U880" s="353"/>
      <c r="V880" s="353"/>
      <c r="W880" s="353"/>
      <c r="X880" s="353"/>
      <c r="Y880" s="353"/>
      <c r="Z880" s="353"/>
      <c r="AA880" s="353"/>
      <c r="AB880" s="353"/>
      <c r="AC880" s="353"/>
      <c r="AD880" s="353"/>
      <c r="AE880" s="353"/>
      <c r="AF880" s="353"/>
      <c r="AG880" s="353"/>
      <c r="AH880" s="353"/>
      <c r="AI880" s="353"/>
      <c r="AJ880" s="353"/>
      <c r="AK880" s="353"/>
      <c r="AL880" s="353"/>
      <c r="AM880" s="353"/>
      <c r="AN880" s="353"/>
      <c r="AO880" s="353"/>
      <c r="AP880" s="353"/>
      <c r="AQ880" s="353"/>
      <c r="AR880" s="353"/>
      <c r="AS880" s="353"/>
      <c r="AT880" s="353"/>
      <c r="AU880" s="353"/>
      <c r="AV880" s="353"/>
      <c r="AW880" s="754"/>
      <c r="AX880" s="353"/>
      <c r="AY880" s="353"/>
      <c r="AZ880" s="353"/>
      <c r="BA880" s="353"/>
      <c r="BB880" s="353"/>
      <c r="BC880" s="353"/>
      <c r="BD880" s="353"/>
      <c r="BE880" s="353"/>
      <c r="BF880" s="353"/>
      <c r="BG880" s="353"/>
      <c r="BH880" s="472"/>
    </row>
    <row r="881" spans="1:60" x14ac:dyDescent="0.25">
      <c r="A881" s="473"/>
      <c r="B881" s="461"/>
      <c r="C881" s="405"/>
      <c r="D881" s="405"/>
      <c r="E881" s="404"/>
      <c r="F881" s="404"/>
      <c r="G881" s="404"/>
      <c r="H881" s="404"/>
      <c r="I881" s="404"/>
      <c r="J881" s="404"/>
      <c r="K881" s="404"/>
      <c r="L881" s="404"/>
      <c r="M881" s="404"/>
      <c r="N881" s="404"/>
      <c r="O881" s="404"/>
      <c r="P881" s="404"/>
      <c r="Q881" s="404"/>
      <c r="R881" s="404"/>
      <c r="S881" s="404"/>
      <c r="T881" s="404"/>
      <c r="U881" s="404"/>
      <c r="V881" s="404"/>
      <c r="W881" s="404"/>
      <c r="X881" s="404"/>
      <c r="Y881" s="404"/>
      <c r="Z881" s="404"/>
      <c r="AA881" s="404"/>
      <c r="AB881" s="404"/>
      <c r="AC881" s="404"/>
      <c r="AD881" s="404"/>
      <c r="AE881" s="404"/>
      <c r="AF881" s="404"/>
      <c r="AG881" s="404"/>
      <c r="AH881" s="404"/>
      <c r="AI881" s="404"/>
      <c r="AJ881" s="404"/>
      <c r="AK881" s="404"/>
      <c r="AL881" s="404"/>
      <c r="AM881" s="404"/>
      <c r="AN881" s="404"/>
      <c r="AO881" s="404"/>
      <c r="AP881" s="404"/>
      <c r="AQ881" s="404"/>
      <c r="AR881" s="404"/>
      <c r="AS881" s="404"/>
      <c r="AT881" s="404"/>
      <c r="AU881" s="404"/>
      <c r="AV881" s="404"/>
      <c r="AW881" s="750"/>
      <c r="AX881" s="404"/>
      <c r="AY881" s="404"/>
      <c r="AZ881" s="404"/>
      <c r="BA881" s="404"/>
      <c r="BB881" s="404"/>
      <c r="BC881" s="404"/>
      <c r="BD881" s="404"/>
      <c r="BE881" s="404"/>
      <c r="BF881" s="404"/>
      <c r="BG881" s="404"/>
      <c r="BH881" s="1024"/>
    </row>
    <row r="882" spans="1:60" s="25" customFormat="1" x14ac:dyDescent="0.25">
      <c r="A882" s="354" t="s">
        <v>335</v>
      </c>
      <c r="B882" s="404"/>
      <c r="C882" s="1021"/>
      <c r="D882" s="1021"/>
      <c r="E882" s="1021"/>
      <c r="F882" s="1021"/>
      <c r="G882" s="1021"/>
      <c r="H882" s="1021"/>
      <c r="I882" s="1021"/>
      <c r="J882" s="1021"/>
      <c r="K882" s="1021"/>
      <c r="L882" s="1021"/>
      <c r="M882" s="1021"/>
      <c r="N882" s="1021"/>
      <c r="O882" s="1021"/>
      <c r="P882" s="1021"/>
      <c r="Q882" s="1021"/>
      <c r="R882" s="1021"/>
      <c r="S882" s="1021"/>
      <c r="T882" s="1021"/>
      <c r="U882" s="1021"/>
      <c r="V882" s="1021"/>
      <c r="W882" s="1021"/>
      <c r="X882" s="1021"/>
      <c r="Y882" s="1021"/>
      <c r="Z882" s="1021"/>
      <c r="AA882" s="1021"/>
      <c r="AB882" s="1021"/>
      <c r="AC882" s="1021"/>
      <c r="AD882" s="1021"/>
      <c r="AE882" s="1021"/>
      <c r="AF882" s="1021"/>
      <c r="AG882" s="1021"/>
      <c r="AH882" s="1021"/>
      <c r="AI882" s="1021"/>
      <c r="AJ882" s="1021"/>
      <c r="AK882" s="1021"/>
      <c r="AL882" s="1021"/>
      <c r="AM882" s="1021"/>
      <c r="AN882" s="1021"/>
      <c r="AO882" s="1021"/>
      <c r="AP882" s="1021"/>
      <c r="AQ882" s="1021"/>
      <c r="AR882" s="1021"/>
      <c r="AS882" s="1021"/>
      <c r="AT882" s="1021"/>
      <c r="AU882" s="1021"/>
      <c r="AV882" s="1021"/>
      <c r="AW882" s="1022"/>
      <c r="AX882" s="1021"/>
      <c r="AY882" s="1021"/>
      <c r="AZ882" s="1021"/>
      <c r="BA882" s="1021"/>
      <c r="BB882" s="1021"/>
      <c r="BC882" s="1021"/>
      <c r="BD882" s="1021"/>
      <c r="BE882" s="1021"/>
      <c r="BF882" s="1021"/>
      <c r="BG882" s="1021"/>
      <c r="BH882" s="1024"/>
    </row>
    <row r="883" spans="1:60" s="355" customFormat="1" x14ac:dyDescent="0.25">
      <c r="A883" s="421" t="s">
        <v>336</v>
      </c>
      <c r="B883" s="412">
        <f>FP.LastPrice</f>
        <v>1049.6099999999999</v>
      </c>
      <c r="C883" s="412"/>
      <c r="D883" s="412"/>
      <c r="E883" s="412"/>
      <c r="F883" s="412"/>
      <c r="G883" s="412"/>
      <c r="H883" s="412"/>
      <c r="I883" s="412"/>
      <c r="J883" s="412"/>
      <c r="K883" s="412"/>
      <c r="L883" s="412"/>
      <c r="M883" s="412"/>
      <c r="N883" s="412"/>
      <c r="O883" s="412"/>
      <c r="P883" s="412"/>
      <c r="Q883" s="412"/>
      <c r="R883" s="412"/>
      <c r="S883" s="412"/>
      <c r="T883" s="412"/>
      <c r="U883" s="412"/>
      <c r="V883" s="412"/>
      <c r="W883" s="412"/>
      <c r="X883" s="412"/>
      <c r="Y883" s="412"/>
      <c r="Z883" s="412"/>
      <c r="AA883" s="412"/>
      <c r="AB883" s="412"/>
      <c r="AC883" s="412"/>
      <c r="AD883" s="412"/>
      <c r="AE883" s="412"/>
      <c r="AF883" s="412"/>
      <c r="AG883" s="412"/>
      <c r="AH883" s="412"/>
      <c r="AI883" s="412"/>
      <c r="AJ883" s="412"/>
      <c r="AK883" s="412"/>
      <c r="AL883" s="412"/>
      <c r="AM883" s="412"/>
      <c r="AN883" s="412"/>
      <c r="AO883" s="412"/>
      <c r="AP883" s="412"/>
      <c r="AQ883" s="412"/>
      <c r="AR883" s="412"/>
      <c r="AS883" s="412"/>
      <c r="AT883" s="412"/>
      <c r="AU883" s="412"/>
      <c r="AV883" s="412"/>
      <c r="AW883" s="752"/>
      <c r="AX883" s="412"/>
      <c r="AY883" s="412"/>
      <c r="AZ883" s="412"/>
      <c r="BA883" s="412"/>
      <c r="BB883" s="412"/>
      <c r="BC883" s="412"/>
      <c r="BD883" s="412"/>
      <c r="BE883" s="412"/>
      <c r="BF883" s="412"/>
      <c r="BG883" s="412"/>
      <c r="BH883" s="414"/>
    </row>
    <row r="884" spans="1:60" x14ac:dyDescent="0.25">
      <c r="A884" s="358" t="s">
        <v>337</v>
      </c>
      <c r="B884" s="787">
        <f>FP.LastPriceDate</f>
        <v>44575</v>
      </c>
      <c r="C884" s="381"/>
      <c r="D884" s="381"/>
      <c r="E884" s="381"/>
      <c r="F884" s="381"/>
      <c r="G884" s="381"/>
      <c r="H884" s="381"/>
      <c r="I884" s="381"/>
      <c r="J884" s="381"/>
      <c r="K884" s="381"/>
      <c r="L884" s="381"/>
      <c r="M884" s="381"/>
      <c r="N884" s="381"/>
      <c r="O884" s="381"/>
      <c r="P884" s="381"/>
      <c r="Q884" s="381"/>
      <c r="R884" s="381"/>
      <c r="S884" s="381"/>
      <c r="T884" s="381"/>
      <c r="U884" s="381"/>
      <c r="V884" s="381"/>
      <c r="W884" s="381"/>
      <c r="X884" s="381"/>
      <c r="Y884" s="381"/>
      <c r="Z884" s="381"/>
      <c r="AA884" s="381"/>
      <c r="AB884" s="381"/>
      <c r="AC884" s="381"/>
      <c r="AD884" s="381"/>
      <c r="AE884" s="381"/>
      <c r="AF884" s="381"/>
      <c r="AG884" s="381"/>
      <c r="AH884" s="381"/>
      <c r="AI884" s="381"/>
      <c r="AJ884" s="381"/>
      <c r="AK884" s="381"/>
      <c r="AL884" s="381"/>
      <c r="AM884" s="381"/>
      <c r="AN884" s="381"/>
      <c r="AO884" s="381"/>
      <c r="AP884" s="381"/>
      <c r="AQ884" s="381"/>
      <c r="AR884" s="381"/>
      <c r="AS884" s="381"/>
      <c r="AT884" s="381"/>
      <c r="AU884" s="381"/>
      <c r="AV884" s="381"/>
      <c r="AW884" s="720"/>
      <c r="AX884" s="381"/>
      <c r="AY884" s="381"/>
      <c r="AZ884" s="381"/>
      <c r="BA884" s="381"/>
      <c r="BB884" s="381"/>
      <c r="BC884" s="381"/>
      <c r="BD884" s="381"/>
      <c r="BE884" s="381"/>
      <c r="BF884" s="381"/>
      <c r="BG884" s="381"/>
      <c r="BH884" s="377"/>
    </row>
    <row r="885" spans="1:60" x14ac:dyDescent="0.25">
      <c r="A885" s="358" t="s">
        <v>338</v>
      </c>
      <c r="B885" s="377" t="b">
        <f>IF(FP.RealTimeToggle="ON",TRUE,FALSE)</f>
        <v>1</v>
      </c>
      <c r="C885" s="381"/>
      <c r="D885" s="381"/>
      <c r="E885" s="381"/>
      <c r="F885" s="381"/>
      <c r="G885" s="381"/>
      <c r="H885" s="381"/>
      <c r="I885" s="381"/>
      <c r="J885" s="381"/>
      <c r="K885" s="381"/>
      <c r="L885" s="381"/>
      <c r="M885" s="381"/>
      <c r="N885" s="381"/>
      <c r="O885" s="381"/>
      <c r="P885" s="381"/>
      <c r="Q885" s="381"/>
      <c r="R885" s="381"/>
      <c r="S885" s="381"/>
      <c r="T885" s="381"/>
      <c r="U885" s="381"/>
      <c r="V885" s="381"/>
      <c r="W885" s="381"/>
      <c r="X885" s="381"/>
      <c r="Y885" s="381"/>
      <c r="Z885" s="381"/>
      <c r="AA885" s="381"/>
      <c r="AB885" s="381"/>
      <c r="AC885" s="381"/>
      <c r="AD885" s="381"/>
      <c r="AE885" s="381"/>
      <c r="AF885" s="381"/>
      <c r="AG885" s="381"/>
      <c r="AH885" s="381"/>
      <c r="AI885" s="381"/>
      <c r="AJ885" s="381"/>
      <c r="AK885" s="381"/>
      <c r="AL885" s="381"/>
      <c r="AM885" s="381"/>
      <c r="AN885" s="381"/>
      <c r="AO885" s="381"/>
      <c r="AP885" s="381"/>
      <c r="AQ885" s="381"/>
      <c r="AR885" s="381"/>
      <c r="AS885" s="381"/>
      <c r="AT885" s="381"/>
      <c r="AU885" s="381"/>
      <c r="AV885" s="381"/>
      <c r="AW885" s="720"/>
      <c r="AX885" s="381"/>
      <c r="AY885" s="381"/>
      <c r="AZ885" s="381"/>
      <c r="BA885" s="381"/>
      <c r="BB885" s="381"/>
      <c r="BC885" s="381"/>
      <c r="BD885" s="381"/>
      <c r="BE885" s="381"/>
      <c r="BF885" s="381"/>
      <c r="BG885" s="381"/>
      <c r="BH885" s="377"/>
    </row>
    <row r="886" spans="1:60" s="355" customFormat="1" x14ac:dyDescent="0.25">
      <c r="A886" s="421" t="s">
        <v>339</v>
      </c>
      <c r="B886" s="414" t="str">
        <f ca="1">IFERROR(CHOOSE(MO.DataSourceIndex,BDP(MO.Ticker.Bloomberg&amp;" EQUITY","LAST_PRICE"),CIQ(MO.Ticker.CapIQ,"IQ_LASTSALEPRICE"),FDS(MO.Ticker.FactSet,"FG_PRICE(NOW)"),_xll.TR(MO.Ticker.Thomson,"TRDPRC_1")),"N/A")</f>
        <v>N/A</v>
      </c>
      <c r="C886" s="412"/>
      <c r="D886" s="412"/>
      <c r="E886" s="412"/>
      <c r="F886" s="412"/>
      <c r="G886" s="412"/>
      <c r="H886" s="412"/>
      <c r="I886" s="412"/>
      <c r="J886" s="412"/>
      <c r="K886" s="412"/>
      <c r="L886" s="412"/>
      <c r="M886" s="412"/>
      <c r="N886" s="412"/>
      <c r="O886" s="412"/>
      <c r="P886" s="412"/>
      <c r="Q886" s="412"/>
      <c r="R886" s="412"/>
      <c r="S886" s="412"/>
      <c r="T886" s="412"/>
      <c r="U886" s="412"/>
      <c r="V886" s="412"/>
      <c r="W886" s="412"/>
      <c r="X886" s="412"/>
      <c r="Y886" s="412"/>
      <c r="Z886" s="412"/>
      <c r="AA886" s="412"/>
      <c r="AB886" s="412"/>
      <c r="AC886" s="412"/>
      <c r="AD886" s="412"/>
      <c r="AE886" s="412"/>
      <c r="AF886" s="412"/>
      <c r="AG886" s="412"/>
      <c r="AH886" s="412"/>
      <c r="AI886" s="412"/>
      <c r="AJ886" s="412"/>
      <c r="AK886" s="412"/>
      <c r="AL886" s="412"/>
      <c r="AM886" s="412"/>
      <c r="AN886" s="412"/>
      <c r="AO886" s="412"/>
      <c r="AP886" s="412"/>
      <c r="AQ886" s="412"/>
      <c r="AR886" s="412"/>
      <c r="AS886" s="412"/>
      <c r="AT886" s="412"/>
      <c r="AU886" s="412"/>
      <c r="AV886" s="412"/>
      <c r="AW886" s="752"/>
      <c r="AX886" s="412"/>
      <c r="AY886" s="412"/>
      <c r="AZ886" s="412"/>
      <c r="BA886" s="412"/>
      <c r="BB886" s="412"/>
      <c r="BC886" s="412"/>
      <c r="BD886" s="412"/>
      <c r="BE886" s="412"/>
      <c r="BF886" s="412"/>
      <c r="BG886" s="412"/>
      <c r="BH886" s="414"/>
    </row>
    <row r="887" spans="1:60" s="355" customFormat="1" x14ac:dyDescent="0.25">
      <c r="A887" s="421" t="s">
        <v>340</v>
      </c>
      <c r="B887" s="414" t="str">
        <f ca="1">IFERROR(CHOOSE(MO.DataSourceIndex,BDP(HP.Ticker&amp;" Equity","CRNCY"),CIQ(HP.Ticker,"IQ_TRADING_CURRENCY"),FDS(HP.Ticker,"P_CURRENCY(""ISO"")"),_xll.TR(HP.Ticker,"Currency")),HP.TradeCurrency.HardCoded)</f>
        <v>USD</v>
      </c>
      <c r="C887" s="412"/>
      <c r="D887" s="412"/>
      <c r="E887" s="412"/>
      <c r="F887" s="412"/>
      <c r="G887" s="412"/>
      <c r="H887" s="412"/>
      <c r="I887" s="412"/>
      <c r="J887" s="412"/>
      <c r="K887" s="412"/>
      <c r="L887" s="412"/>
      <c r="M887" s="412"/>
      <c r="N887" s="412"/>
      <c r="O887" s="412"/>
      <c r="P887" s="412"/>
      <c r="Q887" s="412"/>
      <c r="R887" s="412"/>
      <c r="S887" s="412"/>
      <c r="T887" s="412"/>
      <c r="U887" s="412"/>
      <c r="V887" s="412"/>
      <c r="W887" s="412"/>
      <c r="X887" s="412"/>
      <c r="Y887" s="412"/>
      <c r="Z887" s="412"/>
      <c r="AA887" s="412"/>
      <c r="AB887" s="412"/>
      <c r="AC887" s="412"/>
      <c r="AD887" s="412"/>
      <c r="AE887" s="412"/>
      <c r="AF887" s="412"/>
      <c r="AG887" s="412"/>
      <c r="AH887" s="412"/>
      <c r="AI887" s="412"/>
      <c r="AJ887" s="412"/>
      <c r="AK887" s="412"/>
      <c r="AL887" s="412"/>
      <c r="AM887" s="412"/>
      <c r="AN887" s="412"/>
      <c r="AO887" s="412"/>
      <c r="AP887" s="412"/>
      <c r="AQ887" s="412"/>
      <c r="AR887" s="412"/>
      <c r="AS887" s="412"/>
      <c r="AT887" s="412"/>
      <c r="AU887" s="412"/>
      <c r="AV887" s="412"/>
      <c r="AW887" s="752"/>
      <c r="AX887" s="412"/>
      <c r="AY887" s="412"/>
      <c r="AZ887" s="412"/>
      <c r="BA887" s="412"/>
      <c r="BB887" s="412"/>
      <c r="BC887" s="412"/>
      <c r="BD887" s="412"/>
      <c r="BE887" s="412"/>
      <c r="BF887" s="412"/>
      <c r="BG887" s="412"/>
      <c r="BH887" s="414"/>
    </row>
    <row r="888" spans="1:60" s="355" customFormat="1" x14ac:dyDescent="0.25">
      <c r="A888" s="421" t="s">
        <v>341</v>
      </c>
      <c r="B888" s="414" t="s">
        <v>11</v>
      </c>
      <c r="C888" s="412"/>
      <c r="D888" s="412"/>
      <c r="E888" s="412"/>
      <c r="F888" s="412"/>
      <c r="G888" s="412"/>
      <c r="H888" s="412"/>
      <c r="I888" s="412"/>
      <c r="J888" s="412"/>
      <c r="K888" s="412"/>
      <c r="L888" s="412"/>
      <c r="M888" s="412"/>
      <c r="N888" s="412"/>
      <c r="O888" s="412"/>
      <c r="P888" s="412"/>
      <c r="Q888" s="412"/>
      <c r="R888" s="412"/>
      <c r="S888" s="412"/>
      <c r="T888" s="412"/>
      <c r="U888" s="412"/>
      <c r="V888" s="412"/>
      <c r="W888" s="412"/>
      <c r="X888" s="412"/>
      <c r="Y888" s="412"/>
      <c r="Z888" s="412"/>
      <c r="AA888" s="412"/>
      <c r="AB888" s="412"/>
      <c r="AC888" s="412"/>
      <c r="AD888" s="412"/>
      <c r="AE888" s="412"/>
      <c r="AF888" s="412"/>
      <c r="AG888" s="412"/>
      <c r="AH888" s="412"/>
      <c r="AI888" s="412"/>
      <c r="AJ888" s="412"/>
      <c r="AK888" s="412"/>
      <c r="AL888" s="412"/>
      <c r="AM888" s="412"/>
      <c r="AN888" s="412"/>
      <c r="AO888" s="412"/>
      <c r="AP888" s="412"/>
      <c r="AQ888" s="412"/>
      <c r="AR888" s="412"/>
      <c r="AS888" s="412"/>
      <c r="AT888" s="412"/>
      <c r="AU888" s="412"/>
      <c r="AV888" s="412"/>
      <c r="AW888" s="752"/>
      <c r="AX888" s="412"/>
      <c r="AY888" s="412"/>
      <c r="AZ888" s="412"/>
      <c r="BA888" s="412"/>
      <c r="BB888" s="412"/>
      <c r="BC888" s="412"/>
      <c r="BD888" s="412"/>
      <c r="BE888" s="412"/>
      <c r="BF888" s="412"/>
      <c r="BG888" s="412"/>
      <c r="BH888" s="414"/>
    </row>
    <row r="889" spans="1:60" s="355" customFormat="1" x14ac:dyDescent="0.25">
      <c r="A889" s="421" t="s">
        <v>342</v>
      </c>
      <c r="B889" s="414" t="s">
        <v>11</v>
      </c>
      <c r="C889" s="412"/>
      <c r="D889" s="412"/>
      <c r="E889" s="412"/>
      <c r="F889" s="412"/>
      <c r="G889" s="412"/>
      <c r="H889" s="412"/>
      <c r="I889" s="412"/>
      <c r="J889" s="412"/>
      <c r="K889" s="412"/>
      <c r="L889" s="412"/>
      <c r="M889" s="412"/>
      <c r="N889" s="412"/>
      <c r="O889" s="412"/>
      <c r="P889" s="412"/>
      <c r="Q889" s="412"/>
      <c r="R889" s="412"/>
      <c r="S889" s="412"/>
      <c r="T889" s="412"/>
      <c r="U889" s="412"/>
      <c r="V889" s="412"/>
      <c r="W889" s="412"/>
      <c r="X889" s="412"/>
      <c r="Y889" s="412"/>
      <c r="Z889" s="412"/>
      <c r="AA889" s="412"/>
      <c r="AB889" s="412"/>
      <c r="AC889" s="412"/>
      <c r="AD889" s="412"/>
      <c r="AE889" s="412"/>
      <c r="AF889" s="412"/>
      <c r="AG889" s="412"/>
      <c r="AH889" s="412"/>
      <c r="AI889" s="412"/>
      <c r="AJ889" s="412"/>
      <c r="AK889" s="412"/>
      <c r="AL889" s="412"/>
      <c r="AM889" s="412"/>
      <c r="AN889" s="412"/>
      <c r="AO889" s="412"/>
      <c r="AP889" s="412"/>
      <c r="AQ889" s="412"/>
      <c r="AR889" s="412"/>
      <c r="AS889" s="412"/>
      <c r="AT889" s="412"/>
      <c r="AU889" s="412"/>
      <c r="AV889" s="412"/>
      <c r="AW889" s="752"/>
      <c r="AX889" s="412"/>
      <c r="AY889" s="412"/>
      <c r="AZ889" s="412"/>
      <c r="BA889" s="412"/>
      <c r="BB889" s="412"/>
      <c r="BC889" s="412"/>
      <c r="BD889" s="412"/>
      <c r="BE889" s="412"/>
      <c r="BF889" s="412"/>
      <c r="BG889" s="412"/>
      <c r="BH889" s="414"/>
    </row>
    <row r="890" spans="1:60" s="355" customFormat="1" x14ac:dyDescent="0.25">
      <c r="A890" s="421" t="s">
        <v>343</v>
      </c>
      <c r="B890" s="418">
        <f ca="1">IF(EXACT(MO.ReportFX,HP.TradeCurrency),1,IF(OR(INDEX(MO_SPT_FXAverage,1,MO.MRFPColumnNumber+1)="N/A",ISERROR(INDEX(MO_SPT_FXAverage,1,MO.MRFPColumnNumber+1))),MO.MRFX.Hardcoded,INDEX(MO_SPT_FXAverage,1,MO.MRFPColumnNumber+1)))</f>
        <v>1</v>
      </c>
      <c r="C890" s="412"/>
      <c r="D890" s="412"/>
      <c r="E890" s="412"/>
      <c r="F890" s="412"/>
      <c r="G890" s="412"/>
      <c r="H890" s="412"/>
      <c r="I890" s="412"/>
      <c r="J890" s="412"/>
      <c r="K890" s="412"/>
      <c r="L890" s="412"/>
      <c r="M890" s="412"/>
      <c r="N890" s="412"/>
      <c r="O890" s="412"/>
      <c r="P890" s="412"/>
      <c r="Q890" s="412"/>
      <c r="R890" s="412"/>
      <c r="S890" s="412"/>
      <c r="T890" s="412"/>
      <c r="U890" s="412"/>
      <c r="V890" s="412"/>
      <c r="W890" s="412"/>
      <c r="X890" s="412"/>
      <c r="Y890" s="412"/>
      <c r="Z890" s="412"/>
      <c r="AA890" s="412"/>
      <c r="AB890" s="412"/>
      <c r="AC890" s="412"/>
      <c r="AD890" s="412"/>
      <c r="AE890" s="412"/>
      <c r="AF890" s="412"/>
      <c r="AG890" s="412"/>
      <c r="AH890" s="412"/>
      <c r="AI890" s="412"/>
      <c r="AJ890" s="412"/>
      <c r="AK890" s="412"/>
      <c r="AL890" s="412"/>
      <c r="AM890" s="412"/>
      <c r="AN890" s="412"/>
      <c r="AO890" s="412"/>
      <c r="AP890" s="412"/>
      <c r="AQ890" s="412"/>
      <c r="AR890" s="412"/>
      <c r="AS890" s="412"/>
      <c r="AT890" s="412"/>
      <c r="AU890" s="412"/>
      <c r="AV890" s="412"/>
      <c r="AW890" s="752"/>
      <c r="AX890" s="412"/>
      <c r="AY890" s="412"/>
      <c r="AZ890" s="412"/>
      <c r="BA890" s="412"/>
      <c r="BB890" s="412"/>
      <c r="BC890" s="412"/>
      <c r="BD890" s="412"/>
      <c r="BE890" s="412"/>
      <c r="BF890" s="412"/>
      <c r="BG890" s="412"/>
      <c r="BH890" s="414"/>
    </row>
    <row r="891" spans="1:60" s="355" customFormat="1" x14ac:dyDescent="0.25">
      <c r="A891" s="421" t="s">
        <v>344</v>
      </c>
      <c r="B891" s="403">
        <v>1</v>
      </c>
      <c r="C891" s="412"/>
      <c r="D891" s="412"/>
      <c r="E891" s="412"/>
      <c r="F891" s="412"/>
      <c r="G891" s="412"/>
      <c r="H891" s="412"/>
      <c r="I891" s="412"/>
      <c r="J891" s="412"/>
      <c r="K891" s="412"/>
      <c r="L891" s="412"/>
      <c r="M891" s="412"/>
      <c r="N891" s="412"/>
      <c r="O891" s="412"/>
      <c r="P891" s="412"/>
      <c r="Q891" s="412"/>
      <c r="R891" s="412"/>
      <c r="S891" s="412"/>
      <c r="T891" s="412"/>
      <c r="U891" s="412"/>
      <c r="V891" s="412"/>
      <c r="W891" s="412"/>
      <c r="X891" s="412"/>
      <c r="Y891" s="412"/>
      <c r="Z891" s="412"/>
      <c r="AA891" s="412"/>
      <c r="AB891" s="412"/>
      <c r="AC891" s="412"/>
      <c r="AD891" s="412"/>
      <c r="AE891" s="412"/>
      <c r="AF891" s="412"/>
      <c r="AG891" s="412"/>
      <c r="AH891" s="412"/>
      <c r="AI891" s="412"/>
      <c r="AJ891" s="412"/>
      <c r="AK891" s="412"/>
      <c r="AL891" s="412"/>
      <c r="AM891" s="412"/>
      <c r="AN891" s="412"/>
      <c r="AO891" s="412"/>
      <c r="AP891" s="412"/>
      <c r="AQ891" s="412"/>
      <c r="AR891" s="412"/>
      <c r="AS891" s="412"/>
      <c r="AT891" s="412"/>
      <c r="AU891" s="412"/>
      <c r="AV891" s="412"/>
      <c r="AW891" s="752"/>
      <c r="AX891" s="412"/>
      <c r="AY891" s="412"/>
      <c r="AZ891" s="412"/>
      <c r="BA891" s="412"/>
      <c r="BB891" s="412"/>
      <c r="BC891" s="412"/>
      <c r="BD891" s="412"/>
      <c r="BE891" s="412"/>
      <c r="BF891" s="412"/>
      <c r="BG891" s="412"/>
      <c r="BH891" s="414"/>
    </row>
    <row r="892" spans="1:60" s="356" customFormat="1" x14ac:dyDescent="0.25">
      <c r="A892" s="360" t="s">
        <v>345</v>
      </c>
      <c r="B892" s="361">
        <f>MATCH(MO.MRFP,MO_Common_ColumnHeader,0)</f>
        <v>49</v>
      </c>
      <c r="C892" s="439"/>
      <c r="D892" s="439"/>
      <c r="E892" s="439"/>
      <c r="F892" s="439"/>
      <c r="G892" s="439"/>
      <c r="H892" s="439"/>
      <c r="I892" s="439"/>
      <c r="J892" s="439"/>
      <c r="K892" s="439"/>
      <c r="L892" s="439"/>
      <c r="M892" s="439"/>
      <c r="N892" s="439"/>
      <c r="O892" s="439"/>
      <c r="P892" s="439"/>
      <c r="Q892" s="439"/>
      <c r="R892" s="439"/>
      <c r="S892" s="439"/>
      <c r="T892" s="439"/>
      <c r="U892" s="439"/>
      <c r="V892" s="439"/>
      <c r="W892" s="439"/>
      <c r="X892" s="439"/>
      <c r="Y892" s="439"/>
      <c r="Z892" s="439"/>
      <c r="AA892" s="439"/>
      <c r="AB892" s="439"/>
      <c r="AC892" s="439"/>
      <c r="AD892" s="439"/>
      <c r="AE892" s="439"/>
      <c r="AF892" s="439"/>
      <c r="AG892" s="439"/>
      <c r="AH892" s="439"/>
      <c r="AI892" s="439"/>
      <c r="AJ892" s="439"/>
      <c r="AK892" s="439"/>
      <c r="AL892" s="439"/>
      <c r="AM892" s="439"/>
      <c r="AN892" s="439"/>
      <c r="AO892" s="439"/>
      <c r="AP892" s="439"/>
      <c r="AQ892" s="439"/>
      <c r="AR892" s="439"/>
      <c r="AS892" s="439"/>
      <c r="AT892" s="439"/>
      <c r="AU892" s="439"/>
      <c r="AV892" s="439"/>
      <c r="AW892" s="726"/>
      <c r="AX892" s="439"/>
      <c r="AY892" s="439"/>
      <c r="AZ892" s="439"/>
      <c r="BA892" s="439"/>
      <c r="BB892" s="439"/>
      <c r="BC892" s="439"/>
      <c r="BD892" s="439"/>
      <c r="BE892" s="439"/>
      <c r="BF892" s="439"/>
      <c r="BG892" s="439"/>
      <c r="BH892" s="361"/>
    </row>
    <row r="893" spans="1:60" s="356" customFormat="1" x14ac:dyDescent="0.25">
      <c r="A893" s="360" t="s">
        <v>346</v>
      </c>
      <c r="B893" s="361" t="s">
        <v>689</v>
      </c>
      <c r="C893" s="439"/>
      <c r="D893" s="439"/>
      <c r="E893" s="439"/>
      <c r="F893" s="439"/>
      <c r="G893" s="439"/>
      <c r="H893" s="439"/>
      <c r="I893" s="439"/>
      <c r="J893" s="439"/>
      <c r="K893" s="439"/>
      <c r="L893" s="439"/>
      <c r="M893" s="439"/>
      <c r="N893" s="439"/>
      <c r="O893" s="439"/>
      <c r="P893" s="439"/>
      <c r="Q893" s="439"/>
      <c r="R893" s="439"/>
      <c r="S893" s="439"/>
      <c r="T893" s="439"/>
      <c r="U893" s="439"/>
      <c r="V893" s="439"/>
      <c r="W893" s="439"/>
      <c r="X893" s="439"/>
      <c r="Y893" s="439"/>
      <c r="Z893" s="439"/>
      <c r="AA893" s="439"/>
      <c r="AB893" s="439"/>
      <c r="AC893" s="439"/>
      <c r="AD893" s="439"/>
      <c r="AE893" s="439"/>
      <c r="AF893" s="439"/>
      <c r="AG893" s="439"/>
      <c r="AH893" s="439"/>
      <c r="AI893" s="439"/>
      <c r="AJ893" s="439"/>
      <c r="AK893" s="439"/>
      <c r="AL893" s="439"/>
      <c r="AM893" s="439"/>
      <c r="AN893" s="439"/>
      <c r="AO893" s="439"/>
      <c r="AP893" s="439"/>
      <c r="AQ893" s="439"/>
      <c r="AR893" s="439"/>
      <c r="AS893" s="439"/>
      <c r="AT893" s="439"/>
      <c r="AU893" s="439"/>
      <c r="AV893" s="439"/>
      <c r="AW893" s="726"/>
      <c r="AX893" s="439"/>
      <c r="AY893" s="439"/>
      <c r="AZ893" s="439"/>
      <c r="BA893" s="439"/>
      <c r="BB893" s="439"/>
      <c r="BC893" s="439"/>
      <c r="BD893" s="439"/>
      <c r="BE893" s="439"/>
      <c r="BF893" s="439"/>
      <c r="BG893" s="439"/>
      <c r="BH893" s="361"/>
    </row>
    <row r="894" spans="1:60" s="356" customFormat="1" x14ac:dyDescent="0.25">
      <c r="A894" s="360" t="s">
        <v>347</v>
      </c>
      <c r="B894" s="361" t="str">
        <f>"FY"&amp;RIGHT(MO.MRFP,4)</f>
        <v>FY2021</v>
      </c>
      <c r="C894" s="439"/>
      <c r="D894" s="439"/>
      <c r="E894" s="439"/>
      <c r="F894" s="439"/>
      <c r="G894" s="439"/>
      <c r="H894" s="439"/>
      <c r="I894" s="439"/>
      <c r="J894" s="439"/>
      <c r="K894" s="439"/>
      <c r="L894" s="439"/>
      <c r="M894" s="439"/>
      <c r="N894" s="439"/>
      <c r="O894" s="439"/>
      <c r="P894" s="439"/>
      <c r="Q894" s="439"/>
      <c r="R894" s="439"/>
      <c r="S894" s="439"/>
      <c r="T894" s="439"/>
      <c r="U894" s="439"/>
      <c r="V894" s="439"/>
      <c r="W894" s="439"/>
      <c r="X894" s="439"/>
      <c r="Y894" s="439"/>
      <c r="Z894" s="439"/>
      <c r="AA894" s="439"/>
      <c r="AB894" s="439"/>
      <c r="AC894" s="439"/>
      <c r="AD894" s="439"/>
      <c r="AE894" s="439"/>
      <c r="AF894" s="439"/>
      <c r="AG894" s="439"/>
      <c r="AH894" s="439"/>
      <c r="AI894" s="439"/>
      <c r="AJ894" s="439"/>
      <c r="AK894" s="439"/>
      <c r="AL894" s="439"/>
      <c r="AM894" s="439"/>
      <c r="AN894" s="439"/>
      <c r="AO894" s="439"/>
      <c r="AP894" s="439"/>
      <c r="AQ894" s="439"/>
      <c r="AR894" s="439"/>
      <c r="AS894" s="439"/>
      <c r="AT894" s="439"/>
      <c r="AU894" s="439"/>
      <c r="AV894" s="439"/>
      <c r="AW894" s="726"/>
      <c r="AX894" s="439"/>
      <c r="AY894" s="439"/>
      <c r="AZ894" s="439"/>
      <c r="BA894" s="439"/>
      <c r="BB894" s="439"/>
      <c r="BC894" s="439"/>
      <c r="BD894" s="439"/>
      <c r="BE894" s="439"/>
      <c r="BF894" s="439"/>
      <c r="BG894" s="439"/>
      <c r="BH894" s="361"/>
    </row>
    <row r="895" spans="1:60" s="356" customFormat="1" x14ac:dyDescent="0.25">
      <c r="A895" s="360" t="s">
        <v>475</v>
      </c>
      <c r="B895" s="361" t="str">
        <f>"FY"&amp;RIGHT(MO.MRFP,4)+IF(LEFT(MO.MRFP,2)="FY",1,0)</f>
        <v>FY2021</v>
      </c>
      <c r="C895" s="439"/>
      <c r="D895" s="439"/>
      <c r="E895" s="439"/>
      <c r="F895" s="439"/>
      <c r="G895" s="439"/>
      <c r="H895" s="439"/>
      <c r="I895" s="439"/>
      <c r="J895" s="439"/>
      <c r="K895" s="439"/>
      <c r="L895" s="439"/>
      <c r="M895" s="439"/>
      <c r="N895" s="439"/>
      <c r="O895" s="439"/>
      <c r="P895" s="439"/>
      <c r="Q895" s="439"/>
      <c r="R895" s="439"/>
      <c r="S895" s="439"/>
      <c r="T895" s="439"/>
      <c r="U895" s="439"/>
      <c r="V895" s="439"/>
      <c r="W895" s="439"/>
      <c r="X895" s="439"/>
      <c r="Y895" s="439"/>
      <c r="Z895" s="439"/>
      <c r="AA895" s="439"/>
      <c r="AB895" s="439"/>
      <c r="AC895" s="439"/>
      <c r="AD895" s="439"/>
      <c r="AE895" s="439"/>
      <c r="AF895" s="439"/>
      <c r="AG895" s="439"/>
      <c r="AH895" s="439"/>
      <c r="AI895" s="439"/>
      <c r="AJ895" s="439"/>
      <c r="AK895" s="439"/>
      <c r="AL895" s="439"/>
      <c r="AM895" s="439"/>
      <c r="AN895" s="439"/>
      <c r="AO895" s="439"/>
      <c r="AP895" s="439"/>
      <c r="AQ895" s="439"/>
      <c r="AR895" s="439"/>
      <c r="AS895" s="439"/>
      <c r="AT895" s="439"/>
      <c r="AU895" s="439"/>
      <c r="AV895" s="439"/>
      <c r="AW895" s="726"/>
      <c r="AX895" s="439"/>
      <c r="AY895" s="439"/>
      <c r="AZ895" s="439"/>
      <c r="BA895" s="439"/>
      <c r="BB895" s="439"/>
      <c r="BC895" s="439"/>
      <c r="BD895" s="439"/>
      <c r="BE895" s="439"/>
      <c r="BF895" s="439"/>
      <c r="BG895" s="439"/>
      <c r="BH895" s="361"/>
    </row>
    <row r="896" spans="1:60" s="356" customFormat="1" x14ac:dyDescent="0.25">
      <c r="A896" s="362" t="s">
        <v>348</v>
      </c>
      <c r="B896" s="363">
        <f>IF(MO.DataSourceName="Bloomberg",1,IF(MO.DataSourceName="Capital IQ",2,IF(MO.DataSourceName="FactSet",3,IF(MO.DataSourceName="Refinitiv",4,1))))</f>
        <v>1</v>
      </c>
      <c r="C896" s="439"/>
      <c r="D896" s="439"/>
      <c r="E896" s="439"/>
      <c r="F896" s="439"/>
      <c r="G896" s="439"/>
      <c r="H896" s="439"/>
      <c r="I896" s="439"/>
      <c r="J896" s="439"/>
      <c r="K896" s="439"/>
      <c r="L896" s="439"/>
      <c r="M896" s="439"/>
      <c r="N896" s="439"/>
      <c r="O896" s="439"/>
      <c r="P896" s="439"/>
      <c r="Q896" s="439"/>
      <c r="R896" s="439"/>
      <c r="S896" s="439"/>
      <c r="T896" s="439"/>
      <c r="U896" s="439"/>
      <c r="V896" s="439"/>
      <c r="W896" s="439"/>
      <c r="X896" s="439"/>
      <c r="Y896" s="439"/>
      <c r="Z896" s="439"/>
      <c r="AA896" s="439"/>
      <c r="AB896" s="439"/>
      <c r="AC896" s="439"/>
      <c r="AD896" s="439"/>
      <c r="AE896" s="439"/>
      <c r="AF896" s="439"/>
      <c r="AG896" s="439"/>
      <c r="AH896" s="439"/>
      <c r="AI896" s="439"/>
      <c r="AJ896" s="439"/>
      <c r="AK896" s="439"/>
      <c r="AL896" s="439"/>
      <c r="AM896" s="439"/>
      <c r="AN896" s="439"/>
      <c r="AO896" s="439"/>
      <c r="AP896" s="439"/>
      <c r="AQ896" s="439"/>
      <c r="AR896" s="439"/>
      <c r="AS896" s="439"/>
      <c r="AT896" s="439"/>
      <c r="AU896" s="439"/>
      <c r="AV896" s="439"/>
      <c r="AW896" s="726"/>
      <c r="AX896" s="439"/>
      <c r="AY896" s="439"/>
      <c r="AZ896" s="439"/>
      <c r="BA896" s="439"/>
      <c r="BB896" s="439"/>
      <c r="BC896" s="439"/>
      <c r="BD896" s="439"/>
      <c r="BE896" s="439"/>
      <c r="BF896" s="439"/>
      <c r="BG896" s="439"/>
      <c r="BH896" s="361"/>
    </row>
    <row r="897" spans="1:60" x14ac:dyDescent="0.25">
      <c r="A897" s="406"/>
      <c r="B897" s="406"/>
      <c r="C897" s="381"/>
      <c r="D897" s="381"/>
      <c r="E897" s="381"/>
      <c r="F897" s="381"/>
      <c r="G897" s="381"/>
      <c r="H897" s="381"/>
      <c r="I897" s="381"/>
      <c r="J897" s="381"/>
      <c r="K897" s="381"/>
      <c r="L897" s="381"/>
      <c r="M897" s="381"/>
      <c r="N897" s="381"/>
      <c r="O897" s="381"/>
      <c r="P897" s="381"/>
      <c r="Q897" s="381"/>
      <c r="R897" s="381"/>
      <c r="S897" s="381"/>
      <c r="T897" s="381"/>
      <c r="U897" s="381"/>
      <c r="V897" s="381"/>
      <c r="W897" s="381"/>
      <c r="X897" s="381"/>
      <c r="Y897" s="381"/>
      <c r="Z897" s="381"/>
      <c r="AA897" s="381"/>
      <c r="AB897" s="381"/>
      <c r="AC897" s="381"/>
      <c r="AD897" s="381"/>
      <c r="AE897" s="381"/>
      <c r="AF897" s="381"/>
      <c r="AG897" s="381"/>
      <c r="AH897" s="381"/>
      <c r="AI897" s="381"/>
      <c r="AJ897" s="381"/>
      <c r="AK897" s="381"/>
      <c r="AL897" s="381"/>
      <c r="AM897" s="381"/>
      <c r="AN897" s="381"/>
      <c r="AO897" s="381"/>
      <c r="AP897" s="381"/>
      <c r="AQ897" s="381"/>
      <c r="AR897" s="381"/>
      <c r="AS897" s="381"/>
      <c r="AT897" s="381"/>
      <c r="AU897" s="381"/>
      <c r="AV897" s="381"/>
      <c r="AW897" s="720"/>
      <c r="AX897" s="381"/>
      <c r="AY897" s="381"/>
      <c r="AZ897" s="381"/>
      <c r="BA897" s="381"/>
      <c r="BB897" s="381"/>
      <c r="BC897" s="381"/>
      <c r="BD897" s="381"/>
      <c r="BE897" s="381"/>
      <c r="BF897" s="381"/>
      <c r="BG897" s="381"/>
      <c r="BH897" s="377"/>
    </row>
    <row r="898" spans="1:60" x14ac:dyDescent="0.25">
      <c r="A898" s="583" t="s">
        <v>541</v>
      </c>
      <c r="B898" s="364"/>
      <c r="C898" s="364"/>
      <c r="D898" s="364"/>
      <c r="E898" s="364"/>
      <c r="F898" s="364"/>
      <c r="G898" s="364"/>
      <c r="H898" s="364"/>
      <c r="I898" s="364"/>
      <c r="J898" s="364"/>
      <c r="K898" s="364"/>
      <c r="L898" s="364"/>
      <c r="M898" s="364"/>
      <c r="N898" s="364"/>
      <c r="O898" s="364"/>
      <c r="P898" s="364"/>
      <c r="Q898" s="364"/>
      <c r="R898" s="364"/>
      <c r="S898" s="364"/>
      <c r="T898" s="364"/>
      <c r="U898" s="364"/>
      <c r="V898" s="364"/>
      <c r="W898" s="364"/>
      <c r="X898" s="364"/>
      <c r="Y898" s="364"/>
      <c r="Z898" s="364"/>
      <c r="AA898" s="364"/>
      <c r="AB898" s="364"/>
      <c r="AC898" s="364"/>
      <c r="AD898" s="364"/>
      <c r="AE898" s="364"/>
      <c r="AF898" s="364"/>
      <c r="AG898" s="364"/>
      <c r="AH898" s="364"/>
      <c r="AI898" s="364"/>
      <c r="AJ898" s="364"/>
      <c r="AK898" s="364"/>
      <c r="AL898" s="364"/>
      <c r="AM898" s="364"/>
      <c r="AN898" s="364"/>
      <c r="AO898" s="364"/>
      <c r="AP898" s="364"/>
      <c r="AQ898" s="364"/>
      <c r="AR898" s="364"/>
      <c r="AS898" s="364"/>
      <c r="AT898" s="364"/>
      <c r="AU898" s="364"/>
      <c r="AV898" s="364"/>
      <c r="AW898" s="364"/>
      <c r="AX898" s="364"/>
      <c r="AY898" s="364"/>
      <c r="AZ898" s="364"/>
      <c r="BA898" s="364"/>
      <c r="BB898" s="364"/>
      <c r="BC898" s="364"/>
      <c r="BD898" s="364"/>
      <c r="BE898" s="364"/>
      <c r="BF898" s="364"/>
      <c r="BG898" s="364"/>
      <c r="BH898" s="377"/>
    </row>
    <row r="899" spans="1:60" x14ac:dyDescent="0.25">
      <c r="A899" s="377"/>
      <c r="B899" s="377"/>
      <c r="C899" s="377"/>
      <c r="D899" s="377"/>
      <c r="E899" s="377"/>
      <c r="F899" s="377"/>
      <c r="G899" s="377"/>
      <c r="H899" s="377"/>
      <c r="I899" s="377"/>
      <c r="J899" s="377"/>
      <c r="K899" s="377"/>
      <c r="L899" s="377"/>
      <c r="M899" s="377"/>
      <c r="N899" s="377"/>
      <c r="O899" s="377"/>
      <c r="P899" s="377"/>
      <c r="Q899" s="377"/>
      <c r="R899" s="377"/>
      <c r="S899" s="377"/>
      <c r="T899" s="377"/>
      <c r="U899" s="377"/>
      <c r="V899" s="377"/>
      <c r="W899" s="359"/>
      <c r="X899" s="359"/>
      <c r="Y899" s="377"/>
      <c r="Z899" s="377"/>
      <c r="AA899" s="377"/>
      <c r="AB899" s="377"/>
      <c r="AC899" s="377"/>
      <c r="AD899" s="377"/>
      <c r="AE899" s="377"/>
      <c r="AF899" s="377"/>
      <c r="AG899" s="377"/>
      <c r="AH899" s="377"/>
      <c r="AI899" s="377"/>
      <c r="AJ899" s="377"/>
      <c r="AK899" s="377"/>
      <c r="AL899" s="377"/>
      <c r="AM899" s="377"/>
      <c r="AN899" s="377"/>
      <c r="AO899" s="377"/>
      <c r="AP899" s="377"/>
      <c r="AQ899" s="377"/>
      <c r="AR899" s="377"/>
      <c r="AS899" s="377"/>
      <c r="AT899" s="377"/>
      <c r="AU899" s="377"/>
      <c r="AV899" s="377"/>
      <c r="AW899" s="377"/>
      <c r="AX899" s="377"/>
      <c r="AY899" s="377"/>
      <c r="AZ899" s="377"/>
      <c r="BA899" s="377"/>
      <c r="BB899" s="377"/>
      <c r="BC899" s="377"/>
      <c r="BD899" s="377"/>
      <c r="BE899" s="377"/>
      <c r="BF899" s="377"/>
      <c r="BG899" s="377"/>
      <c r="BH899" s="377"/>
    </row>
  </sheetData>
  <conditionalFormatting sqref="C358:L358 O358:AL358 AO358:BG358">
    <cfRule type="cellIs" dxfId="9" priority="560" operator="equal">
      <formula>0</formula>
    </cfRule>
  </conditionalFormatting>
  <conditionalFormatting sqref="C358:L358 O358:AL358 AO358:BG358">
    <cfRule type="cellIs" dxfId="8" priority="561" operator="notEqual">
      <formula>0</formula>
    </cfRule>
  </conditionalFormatting>
  <conditionalFormatting sqref="C672:AE672 AG672:BG672">
    <cfRule type="cellIs" dxfId="7" priority="562" operator="equal">
      <formula>0</formula>
    </cfRule>
  </conditionalFormatting>
  <conditionalFormatting sqref="C672:AE672 AG672:BG672">
    <cfRule type="cellIs" dxfId="6" priority="563" operator="notEqual">
      <formula>0</formula>
    </cfRule>
  </conditionalFormatting>
  <conditionalFormatting sqref="C790:BG790">
    <cfRule type="cellIs" dxfId="5" priority="564" operator="equal">
      <formula>0</formula>
    </cfRule>
  </conditionalFormatting>
  <conditionalFormatting sqref="C790:BG790">
    <cfRule type="cellIs" dxfId="4" priority="565" operator="notEqual">
      <formula>0</formula>
    </cfRule>
  </conditionalFormatting>
  <conditionalFormatting sqref="C793:AL793 AO793:BG793 C794:BG805 C806:O806 Q806:Y806 AA806:AN806 AP806:BG806 C807:X807 AA807:AK807 AM807:BG807 C808:BG808 C809:Y809 AA809:AN809 AP809:BG809 C810:AX810 AZ810:BG810 C812:BG814 C811:AD811 AF811:AI811 AK811:AN811 AP811:AS811 AU811:AX811 AZ811:BC811 BE811:BG811">
    <cfRule type="cellIs" dxfId="3" priority="566" operator="equal">
      <formula>0</formula>
    </cfRule>
  </conditionalFormatting>
  <conditionalFormatting sqref="C793:AL793 AO793:BG793 C794:BG805 C806:O806 Q806:Y806 AA806:AN806 AP806:BG806 C807:X807 AA807:AK807 AM807:BG807 C808:BG808 C809:Y809 AA809:AN809 AP809:BG809 C810:AX810 AZ810:BG810 C812:BG814 C811:AD811 AF811:AI811 AK811:AN811 AP811:AS811 AU811:AX811 AZ811:BC811 BE811:BG811">
    <cfRule type="cellIs" dxfId="2" priority="567" operator="notEqual">
      <formula>0</formula>
    </cfRule>
  </conditionalFormatting>
  <dataValidations count="1">
    <dataValidation type="list" showInputMessage="1" showErrorMessage="1" sqref="B470" xr:uid="{00000000-0002-0000-0100-000000000000}">
      <formula1>$A$825:$A$827</formula1>
    </dataValidation>
  </dataValidations>
  <hyperlinks>
    <hyperlink ref="A1" r:id="rId1" xr:uid="{00000000-0004-0000-0100-000000000000}"/>
  </hyperlinks>
  <pageMargins left="0" right="0" top="0.39370078740157499" bottom="0" header="0.196850393700787" footer="0"/>
  <pageSetup scale="33" fitToHeight="0" orientation="landscape" r:id="rId2"/>
  <headerFooter>
    <oddHeader>&amp;CTesla, Inc.&amp;RPage &amp;P</oddHead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F4424-E58E-4FEE-BEA3-41FB1228CE6E}">
  <sheetPr codeName="Sheet4"/>
  <dimension ref="A1:BH109"/>
  <sheetViews>
    <sheetView zoomScale="85" zoomScaleNormal="85" workbookViewId="0">
      <pane xSplit="2" ySplit="5" topLeftCell="C6" activePane="bottomRight" state="frozen"/>
      <selection pane="topRight" activeCell="C1" sqref="C1"/>
      <selection pane="bottomLeft" activeCell="A6" sqref="A6"/>
      <selection pane="bottomRight"/>
    </sheetView>
  </sheetViews>
  <sheetFormatPr defaultColWidth="8.85546875" defaultRowHeight="14.45" customHeight="1" outlineLevelRow="1" outlineLevelCol="1" x14ac:dyDescent="0.25"/>
  <cols>
    <col min="1" max="1" width="46.7109375" style="868" customWidth="1"/>
    <col min="2" max="2" width="9.7109375" style="868" customWidth="1"/>
    <col min="3" max="3" width="10.28515625" style="868" bestFit="1" customWidth="1"/>
    <col min="4" max="4" width="8.85546875" style="868" customWidth="1"/>
    <col min="5" max="6" width="8.85546875" style="868"/>
    <col min="7" max="10" width="8.85546875" hidden="1" customWidth="1" outlineLevel="1"/>
    <col min="11" max="11" width="8.85546875" style="868" collapsed="1"/>
    <col min="12" max="15" width="8.85546875" hidden="1" customWidth="1" outlineLevel="1"/>
    <col min="16" max="16" width="8.85546875" style="868" collapsed="1"/>
    <col min="17" max="20" width="8.85546875" hidden="1" customWidth="1" outlineLevel="1"/>
    <col min="21" max="21" width="8.85546875" style="868" collapsed="1"/>
    <col min="22" max="25" width="8.85546875" hidden="1" customWidth="1" outlineLevel="1"/>
    <col min="26" max="26" width="8.85546875" style="868" collapsed="1"/>
    <col min="27" max="30" width="8.85546875" hidden="1" customWidth="1" outlineLevel="1"/>
    <col min="31" max="31" width="8.85546875" style="868" collapsed="1"/>
    <col min="32" max="35" width="8.85546875" hidden="1" customWidth="1" outlineLevel="1"/>
    <col min="36" max="36" width="8.85546875" style="868" collapsed="1"/>
    <col min="37" max="40" width="8.85546875" hidden="1" customWidth="1" outlineLevel="1"/>
    <col min="41" max="41" width="8.85546875" style="868" collapsed="1"/>
    <col min="42" max="45" width="8.85546875" customWidth="1" outlineLevel="1"/>
    <col min="46" max="46" width="8.85546875" style="868"/>
    <col min="47" max="50" width="8.85546875" customWidth="1" outlineLevel="1"/>
    <col min="51" max="51" width="8.85546875" style="868"/>
    <col min="52" max="55" width="8.85546875" customWidth="1" outlineLevel="1"/>
    <col min="56" max="16384" width="8.85546875" style="868"/>
  </cols>
  <sheetData>
    <row r="1" spans="1:60" s="851" customFormat="1" ht="28.5" customHeight="1" x14ac:dyDescent="0.45">
      <c r="A1" s="852" t="str">
        <f>MO.CompanyName</f>
        <v>Tesla, Inc.</v>
      </c>
      <c r="B1" s="874"/>
      <c r="C1" s="1030"/>
      <c r="D1" s="1030"/>
      <c r="E1" s="1030"/>
      <c r="F1" s="1030"/>
      <c r="G1" s="1030"/>
      <c r="H1" s="1030"/>
      <c r="I1" s="1030"/>
      <c r="J1" s="1030"/>
      <c r="K1" s="1030"/>
      <c r="L1" s="1030"/>
      <c r="M1" s="1030"/>
      <c r="N1" s="1030"/>
      <c r="O1" s="1030"/>
      <c r="P1" s="1030"/>
      <c r="Q1" s="1030"/>
      <c r="R1" s="1030"/>
      <c r="S1" s="1030"/>
      <c r="T1" s="1030"/>
      <c r="U1" s="1030"/>
      <c r="V1" s="1030"/>
      <c r="W1" s="1030"/>
      <c r="X1" s="1030"/>
      <c r="Y1" s="1030"/>
      <c r="Z1" s="1030"/>
      <c r="AA1" s="1030"/>
      <c r="AB1" s="1030"/>
      <c r="AC1" s="1030"/>
      <c r="AD1" s="1030"/>
      <c r="AE1" s="1030"/>
      <c r="AF1" s="1030"/>
      <c r="AG1" s="1030"/>
      <c r="AH1" s="1030"/>
      <c r="AI1" s="1030"/>
      <c r="AJ1" s="1030"/>
      <c r="AK1" s="1030"/>
      <c r="AL1" s="1030"/>
      <c r="AM1" s="1030"/>
      <c r="AN1" s="1030"/>
      <c r="AO1" s="1030"/>
      <c r="AP1" s="1030"/>
      <c r="AQ1" s="1030"/>
      <c r="AR1" s="1030"/>
      <c r="AS1" s="1030"/>
      <c r="AT1" s="1030"/>
      <c r="AU1" s="1030"/>
      <c r="AV1" s="1030"/>
      <c r="AW1" s="1031"/>
      <c r="AX1" s="853"/>
      <c r="AY1" s="853"/>
      <c r="AZ1" s="853"/>
      <c r="BA1" s="853"/>
      <c r="BB1" s="853"/>
      <c r="BC1" s="853"/>
      <c r="BD1" s="853"/>
      <c r="BE1" s="853"/>
      <c r="BF1" s="853"/>
      <c r="BG1" s="853"/>
      <c r="BH1" s="869"/>
    </row>
    <row r="2" spans="1:60" s="851" customFormat="1" ht="15" customHeight="1" x14ac:dyDescent="0.25">
      <c r="A2" s="854" t="str">
        <f>MO.Ticker</f>
        <v>TSLA US</v>
      </c>
      <c r="B2" s="855"/>
      <c r="C2" s="881">
        <f>Model!C2</f>
        <v>39813</v>
      </c>
      <c r="D2" s="881">
        <f>Model!D2</f>
        <v>0</v>
      </c>
      <c r="E2" s="881">
        <f>Model!E2</f>
        <v>0</v>
      </c>
      <c r="F2" s="881">
        <f>Model!F2</f>
        <v>0</v>
      </c>
      <c r="G2" s="881">
        <f>Model!G2</f>
        <v>0</v>
      </c>
      <c r="H2" s="881">
        <f>Model!H2</f>
        <v>0</v>
      </c>
      <c r="I2" s="881">
        <f>Model!I2</f>
        <v>0</v>
      </c>
      <c r="J2" s="881">
        <f>Model!J2</f>
        <v>0</v>
      </c>
      <c r="K2" s="881">
        <f>Model!K2</f>
        <v>0</v>
      </c>
      <c r="L2" s="881">
        <f>Model!L2</f>
        <v>0</v>
      </c>
      <c r="M2" s="881">
        <f>Model!M2</f>
        <v>0</v>
      </c>
      <c r="N2" s="881">
        <f>Model!N2</f>
        <v>0</v>
      </c>
      <c r="O2" s="881">
        <f>Model!O2</f>
        <v>0</v>
      </c>
      <c r="P2" s="881">
        <f>Model!P2</f>
        <v>0</v>
      </c>
      <c r="Q2" s="881">
        <f>Model!Q2</f>
        <v>0</v>
      </c>
      <c r="R2" s="881">
        <f>Model!R2</f>
        <v>0</v>
      </c>
      <c r="S2" s="881">
        <f>Model!S2</f>
        <v>0</v>
      </c>
      <c r="T2" s="881">
        <f>Model!T2</f>
        <v>0</v>
      </c>
      <c r="U2" s="881">
        <f>Model!U2</f>
        <v>0</v>
      </c>
      <c r="V2" s="881">
        <f>Model!V2</f>
        <v>0</v>
      </c>
      <c r="W2" s="881">
        <f>Model!W2</f>
        <v>0</v>
      </c>
      <c r="X2" s="881">
        <f>Model!X2</f>
        <v>0</v>
      </c>
      <c r="Y2" s="881">
        <f>Model!Y2</f>
        <v>0</v>
      </c>
      <c r="Z2" s="881">
        <f>Model!Z2</f>
        <v>0</v>
      </c>
      <c r="AA2" s="881">
        <f>Model!AA2</f>
        <v>0</v>
      </c>
      <c r="AB2" s="881">
        <f>Model!AB2</f>
        <v>0</v>
      </c>
      <c r="AC2" s="881">
        <f>Model!AC2</f>
        <v>0</v>
      </c>
      <c r="AD2" s="881">
        <f>Model!AD2</f>
        <v>0</v>
      </c>
      <c r="AE2" s="881">
        <f>Model!AE2</f>
        <v>0</v>
      </c>
      <c r="AF2" s="881">
        <f>Model!AF2</f>
        <v>0</v>
      </c>
      <c r="AG2" s="881">
        <f>Model!AG2</f>
        <v>0</v>
      </c>
      <c r="AH2" s="881">
        <f>Model!AH2</f>
        <v>0</v>
      </c>
      <c r="AI2" s="881">
        <f>Model!AI2</f>
        <v>0</v>
      </c>
      <c r="AJ2" s="881">
        <f>Model!AJ2</f>
        <v>0</v>
      </c>
      <c r="AK2" s="881">
        <f>Model!AK2</f>
        <v>0</v>
      </c>
      <c r="AL2" s="881">
        <f>Model!AL2</f>
        <v>0</v>
      </c>
      <c r="AM2" s="881">
        <f>Model!AM2</f>
        <v>0</v>
      </c>
      <c r="AN2" s="881">
        <f>Model!AN2</f>
        <v>0</v>
      </c>
      <c r="AO2" s="881">
        <f>Model!AO2</f>
        <v>0</v>
      </c>
      <c r="AP2" s="881">
        <f>Model!AP2</f>
        <v>0</v>
      </c>
      <c r="AQ2" s="881">
        <f>Model!AQ2</f>
        <v>0</v>
      </c>
      <c r="AR2" s="881">
        <f>Model!AR2</f>
        <v>0</v>
      </c>
      <c r="AS2" s="881">
        <f>Model!AS2</f>
        <v>0</v>
      </c>
      <c r="AT2" s="881">
        <f>Model!AT2</f>
        <v>0</v>
      </c>
      <c r="AU2" s="881">
        <f>Model!AU2</f>
        <v>0</v>
      </c>
      <c r="AV2" s="881">
        <f>Model!AV2</f>
        <v>0</v>
      </c>
      <c r="AW2" s="888">
        <f>Model!AW2</f>
        <v>0</v>
      </c>
      <c r="AX2" s="856">
        <f>Model!AX2</f>
        <v>0</v>
      </c>
      <c r="AY2" s="856">
        <f>Model!AY2</f>
        <v>0</v>
      </c>
      <c r="AZ2" s="856">
        <f>Model!AZ2</f>
        <v>0</v>
      </c>
      <c r="BA2" s="856">
        <f>Model!BA2</f>
        <v>0</v>
      </c>
      <c r="BB2" s="856">
        <f>Model!BB2</f>
        <v>0</v>
      </c>
      <c r="BC2" s="856">
        <f>Model!BC2</f>
        <v>0</v>
      </c>
      <c r="BD2" s="856">
        <f>Model!BD2</f>
        <v>0</v>
      </c>
      <c r="BE2" s="856">
        <f>Model!BE2</f>
        <v>0</v>
      </c>
      <c r="BF2" s="856">
        <f>Model!BF2</f>
        <v>0</v>
      </c>
      <c r="BG2" s="856">
        <f>Model!BG2</f>
        <v>0</v>
      </c>
      <c r="BH2" s="869"/>
    </row>
    <row r="3" spans="1:60" s="851" customFormat="1" ht="15" customHeight="1" x14ac:dyDescent="0.25">
      <c r="A3" s="857" t="str">
        <f ca="1">MO.TradingCurrency</f>
        <v>USD</v>
      </c>
      <c r="B3" s="858">
        <f ca="1">MO.LastPrice</f>
        <v>1049.6099999999999</v>
      </c>
      <c r="C3" s="882">
        <f t="shared" ref="C3:AH3" si="0">INDEX(MO_Common_FPDays,0,MATCH(C$5,MO_Common_ColumnHeader,0))</f>
        <v>365</v>
      </c>
      <c r="D3" s="882">
        <f t="shared" si="0"/>
        <v>365</v>
      </c>
      <c r="E3" s="882">
        <f t="shared" si="0"/>
        <v>365</v>
      </c>
      <c r="F3" s="882">
        <f t="shared" si="0"/>
        <v>366</v>
      </c>
      <c r="G3" s="883">
        <f t="shared" si="0"/>
        <v>90</v>
      </c>
      <c r="H3" s="883">
        <f t="shared" si="0"/>
        <v>91</v>
      </c>
      <c r="I3" s="883">
        <f t="shared" si="0"/>
        <v>92</v>
      </c>
      <c r="J3" s="883">
        <f t="shared" si="0"/>
        <v>92</v>
      </c>
      <c r="K3" s="882">
        <f t="shared" si="0"/>
        <v>365</v>
      </c>
      <c r="L3" s="883">
        <f t="shared" si="0"/>
        <v>90</v>
      </c>
      <c r="M3" s="883">
        <f t="shared" si="0"/>
        <v>91</v>
      </c>
      <c r="N3" s="883">
        <f t="shared" si="0"/>
        <v>92</v>
      </c>
      <c r="O3" s="883">
        <f t="shared" si="0"/>
        <v>92</v>
      </c>
      <c r="P3" s="882">
        <f t="shared" si="0"/>
        <v>365</v>
      </c>
      <c r="Q3" s="883">
        <f t="shared" si="0"/>
        <v>90</v>
      </c>
      <c r="R3" s="883">
        <f t="shared" si="0"/>
        <v>91</v>
      </c>
      <c r="S3" s="883">
        <f t="shared" si="0"/>
        <v>92</v>
      </c>
      <c r="T3" s="883">
        <f t="shared" si="0"/>
        <v>92</v>
      </c>
      <c r="U3" s="882">
        <f t="shared" si="0"/>
        <v>365</v>
      </c>
      <c r="V3" s="883">
        <f t="shared" si="0"/>
        <v>91</v>
      </c>
      <c r="W3" s="883">
        <f t="shared" si="0"/>
        <v>91</v>
      </c>
      <c r="X3" s="883">
        <f t="shared" si="0"/>
        <v>92</v>
      </c>
      <c r="Y3" s="883">
        <f t="shared" si="0"/>
        <v>92</v>
      </c>
      <c r="Z3" s="882">
        <f t="shared" si="0"/>
        <v>366</v>
      </c>
      <c r="AA3" s="883">
        <f t="shared" si="0"/>
        <v>90</v>
      </c>
      <c r="AB3" s="883">
        <f t="shared" si="0"/>
        <v>91</v>
      </c>
      <c r="AC3" s="883">
        <f t="shared" si="0"/>
        <v>92</v>
      </c>
      <c r="AD3" s="883">
        <f t="shared" si="0"/>
        <v>92</v>
      </c>
      <c r="AE3" s="882">
        <f t="shared" si="0"/>
        <v>365</v>
      </c>
      <c r="AF3" s="883">
        <f t="shared" si="0"/>
        <v>90</v>
      </c>
      <c r="AG3" s="883">
        <f t="shared" si="0"/>
        <v>91</v>
      </c>
      <c r="AH3" s="883">
        <f t="shared" si="0"/>
        <v>92</v>
      </c>
      <c r="AI3" s="883">
        <f t="shared" ref="AI3:BG3" si="1">INDEX(MO_Common_FPDays,0,MATCH(AI$5,MO_Common_ColumnHeader,0))</f>
        <v>92</v>
      </c>
      <c r="AJ3" s="882">
        <f t="shared" si="1"/>
        <v>365</v>
      </c>
      <c r="AK3" s="883">
        <f t="shared" si="1"/>
        <v>90</v>
      </c>
      <c r="AL3" s="883">
        <f t="shared" si="1"/>
        <v>91</v>
      </c>
      <c r="AM3" s="883">
        <f t="shared" si="1"/>
        <v>92</v>
      </c>
      <c r="AN3" s="883">
        <f t="shared" si="1"/>
        <v>92</v>
      </c>
      <c r="AO3" s="882">
        <f t="shared" si="1"/>
        <v>365</v>
      </c>
      <c r="AP3" s="883">
        <f t="shared" si="1"/>
        <v>91</v>
      </c>
      <c r="AQ3" s="883">
        <f t="shared" si="1"/>
        <v>91</v>
      </c>
      <c r="AR3" s="883">
        <f t="shared" si="1"/>
        <v>92</v>
      </c>
      <c r="AS3" s="883">
        <f t="shared" si="1"/>
        <v>92</v>
      </c>
      <c r="AT3" s="882">
        <f t="shared" si="1"/>
        <v>366</v>
      </c>
      <c r="AU3" s="883">
        <f t="shared" si="1"/>
        <v>90</v>
      </c>
      <c r="AV3" s="883">
        <f t="shared" si="1"/>
        <v>91</v>
      </c>
      <c r="AW3" s="889">
        <f t="shared" si="1"/>
        <v>92</v>
      </c>
      <c r="AX3" s="861">
        <f t="shared" si="1"/>
        <v>92</v>
      </c>
      <c r="AY3" s="859">
        <f t="shared" si="1"/>
        <v>365</v>
      </c>
      <c r="AZ3" s="861">
        <f t="shared" si="1"/>
        <v>90</v>
      </c>
      <c r="BA3" s="861">
        <f t="shared" si="1"/>
        <v>91</v>
      </c>
      <c r="BB3" s="861">
        <f t="shared" si="1"/>
        <v>92</v>
      </c>
      <c r="BC3" s="861">
        <f t="shared" si="1"/>
        <v>92</v>
      </c>
      <c r="BD3" s="859">
        <f t="shared" si="1"/>
        <v>365</v>
      </c>
      <c r="BE3" s="859">
        <f t="shared" si="1"/>
        <v>365</v>
      </c>
      <c r="BF3" s="859">
        <f t="shared" si="1"/>
        <v>366</v>
      </c>
      <c r="BG3" s="859">
        <f t="shared" si="1"/>
        <v>365</v>
      </c>
      <c r="BH3" s="869"/>
    </row>
    <row r="4" spans="1:60" s="851" customFormat="1" ht="15" customHeight="1" x14ac:dyDescent="0.25">
      <c r="A4" s="860" t="str">
        <f>MO.DataSourceName</f>
        <v>Bloomberg</v>
      </c>
      <c r="B4" s="861" t="str">
        <f ca="1">MO.RealTime</f>
        <v>OFF</v>
      </c>
      <c r="C4" s="884">
        <f t="shared" ref="C4:AH4" si="2">INDEX(MO_Common_QEndDate,0,MATCH(C$5,MO_Common_ColumnHeader,0))</f>
        <v>40178</v>
      </c>
      <c r="D4" s="884">
        <f t="shared" si="2"/>
        <v>40543</v>
      </c>
      <c r="E4" s="884">
        <f t="shared" si="2"/>
        <v>40908</v>
      </c>
      <c r="F4" s="884">
        <f t="shared" si="2"/>
        <v>41274</v>
      </c>
      <c r="G4" s="885">
        <f t="shared" si="2"/>
        <v>41364</v>
      </c>
      <c r="H4" s="885">
        <f t="shared" si="2"/>
        <v>41455</v>
      </c>
      <c r="I4" s="885">
        <f t="shared" si="2"/>
        <v>41547</v>
      </c>
      <c r="J4" s="885">
        <f t="shared" si="2"/>
        <v>41639</v>
      </c>
      <c r="K4" s="884">
        <f t="shared" si="2"/>
        <v>41639</v>
      </c>
      <c r="L4" s="885">
        <f t="shared" si="2"/>
        <v>41729</v>
      </c>
      <c r="M4" s="885">
        <f t="shared" si="2"/>
        <v>41820</v>
      </c>
      <c r="N4" s="885">
        <f t="shared" si="2"/>
        <v>41912</v>
      </c>
      <c r="O4" s="885">
        <f t="shared" si="2"/>
        <v>42004</v>
      </c>
      <c r="P4" s="884">
        <f t="shared" si="2"/>
        <v>42004</v>
      </c>
      <c r="Q4" s="885">
        <f t="shared" si="2"/>
        <v>42094</v>
      </c>
      <c r="R4" s="885">
        <f t="shared" si="2"/>
        <v>42185</v>
      </c>
      <c r="S4" s="885">
        <f t="shared" si="2"/>
        <v>42277</v>
      </c>
      <c r="T4" s="885">
        <f t="shared" si="2"/>
        <v>42369</v>
      </c>
      <c r="U4" s="884">
        <f t="shared" si="2"/>
        <v>42369</v>
      </c>
      <c r="V4" s="885">
        <f t="shared" si="2"/>
        <v>42460</v>
      </c>
      <c r="W4" s="885">
        <f t="shared" si="2"/>
        <v>42551</v>
      </c>
      <c r="X4" s="885">
        <f t="shared" si="2"/>
        <v>42643</v>
      </c>
      <c r="Y4" s="885">
        <f t="shared" si="2"/>
        <v>42735</v>
      </c>
      <c r="Z4" s="884">
        <f t="shared" si="2"/>
        <v>42735</v>
      </c>
      <c r="AA4" s="885">
        <f t="shared" si="2"/>
        <v>42825</v>
      </c>
      <c r="AB4" s="885">
        <f t="shared" si="2"/>
        <v>42916</v>
      </c>
      <c r="AC4" s="885">
        <f t="shared" si="2"/>
        <v>43008</v>
      </c>
      <c r="AD4" s="885">
        <f t="shared" si="2"/>
        <v>43100</v>
      </c>
      <c r="AE4" s="884">
        <f t="shared" si="2"/>
        <v>43100</v>
      </c>
      <c r="AF4" s="885">
        <f t="shared" si="2"/>
        <v>43190</v>
      </c>
      <c r="AG4" s="885">
        <f t="shared" si="2"/>
        <v>43281</v>
      </c>
      <c r="AH4" s="885">
        <f t="shared" si="2"/>
        <v>43373</v>
      </c>
      <c r="AI4" s="885">
        <f t="shared" ref="AI4:BG4" si="3">INDEX(MO_Common_QEndDate,0,MATCH(AI$5,MO_Common_ColumnHeader,0))</f>
        <v>43465</v>
      </c>
      <c r="AJ4" s="884">
        <f t="shared" si="3"/>
        <v>43465</v>
      </c>
      <c r="AK4" s="885">
        <f t="shared" si="3"/>
        <v>43555</v>
      </c>
      <c r="AL4" s="885">
        <f t="shared" si="3"/>
        <v>43646</v>
      </c>
      <c r="AM4" s="885">
        <f t="shared" si="3"/>
        <v>43738</v>
      </c>
      <c r="AN4" s="885">
        <f t="shared" si="3"/>
        <v>43830</v>
      </c>
      <c r="AO4" s="884">
        <f t="shared" si="3"/>
        <v>43830</v>
      </c>
      <c r="AP4" s="885">
        <f t="shared" si="3"/>
        <v>43921</v>
      </c>
      <c r="AQ4" s="885">
        <f t="shared" si="3"/>
        <v>44012</v>
      </c>
      <c r="AR4" s="885">
        <f t="shared" si="3"/>
        <v>44104</v>
      </c>
      <c r="AS4" s="885">
        <f t="shared" si="3"/>
        <v>44196</v>
      </c>
      <c r="AT4" s="884">
        <f t="shared" si="3"/>
        <v>44196</v>
      </c>
      <c r="AU4" s="885">
        <f t="shared" si="3"/>
        <v>44286</v>
      </c>
      <c r="AV4" s="885">
        <f t="shared" si="3"/>
        <v>44377</v>
      </c>
      <c r="AW4" s="890">
        <f t="shared" si="3"/>
        <v>44469</v>
      </c>
      <c r="AX4" s="870">
        <f t="shared" si="3"/>
        <v>44561</v>
      </c>
      <c r="AY4" s="862">
        <f t="shared" si="3"/>
        <v>44561</v>
      </c>
      <c r="AZ4" s="870">
        <f t="shared" si="3"/>
        <v>44651</v>
      </c>
      <c r="BA4" s="870">
        <f t="shared" si="3"/>
        <v>44742</v>
      </c>
      <c r="BB4" s="870">
        <f t="shared" si="3"/>
        <v>44834</v>
      </c>
      <c r="BC4" s="870">
        <f t="shared" si="3"/>
        <v>44926</v>
      </c>
      <c r="BD4" s="862">
        <f t="shared" si="3"/>
        <v>44926</v>
      </c>
      <c r="BE4" s="862">
        <f t="shared" si="3"/>
        <v>45291</v>
      </c>
      <c r="BF4" s="862">
        <f t="shared" si="3"/>
        <v>45657</v>
      </c>
      <c r="BG4" s="862">
        <f t="shared" si="3"/>
        <v>46022</v>
      </c>
      <c r="BH4" s="869"/>
    </row>
    <row r="5" spans="1:60" s="851" customFormat="1" ht="15" customHeight="1" x14ac:dyDescent="0.25">
      <c r="A5" s="863" t="str">
        <f>MO.ReportFX</f>
        <v>USD</v>
      </c>
      <c r="B5" s="864"/>
      <c r="C5" s="882" t="str">
        <f>Model!C5</f>
        <v>FY2009</v>
      </c>
      <c r="D5" s="882" t="str">
        <f>Model!D5</f>
        <v>FY2010</v>
      </c>
      <c r="E5" s="882" t="str">
        <f>Model!E5</f>
        <v>FY2011</v>
      </c>
      <c r="F5" s="882" t="str">
        <f>Model!F5</f>
        <v>FY2012</v>
      </c>
      <c r="G5" s="883" t="str">
        <f>Model!G5</f>
        <v>Q1-2013</v>
      </c>
      <c r="H5" s="883" t="str">
        <f>Model!H5</f>
        <v>Q2-2013</v>
      </c>
      <c r="I5" s="883" t="str">
        <f>Model!I5</f>
        <v>Q3-2013</v>
      </c>
      <c r="J5" s="883" t="str">
        <f>Model!J5</f>
        <v>Q4-2013</v>
      </c>
      <c r="K5" s="882" t="str">
        <f>Model!K5</f>
        <v>FY2013</v>
      </c>
      <c r="L5" s="883" t="str">
        <f>Model!L5</f>
        <v>Q1-2014</v>
      </c>
      <c r="M5" s="883" t="str">
        <f>Model!M5</f>
        <v>Q2-2014</v>
      </c>
      <c r="N5" s="883" t="str">
        <f>Model!N5</f>
        <v>Q3-2014</v>
      </c>
      <c r="O5" s="883" t="str">
        <f>Model!O5</f>
        <v>Q4-2014</v>
      </c>
      <c r="P5" s="882" t="str">
        <f>Model!P5</f>
        <v>FY2014</v>
      </c>
      <c r="Q5" s="883" t="str">
        <f>Model!Q5</f>
        <v>Q1-2015</v>
      </c>
      <c r="R5" s="883" t="str">
        <f>Model!R5</f>
        <v>Q2-2015</v>
      </c>
      <c r="S5" s="883" t="str">
        <f>Model!S5</f>
        <v>Q3-2015</v>
      </c>
      <c r="T5" s="883" t="str">
        <f>Model!T5</f>
        <v>Q4-2015</v>
      </c>
      <c r="U5" s="882" t="str">
        <f>Model!U5</f>
        <v>FY2015</v>
      </c>
      <c r="V5" s="883" t="str">
        <f>Model!V5</f>
        <v>Q1-2016</v>
      </c>
      <c r="W5" s="883" t="str">
        <f>Model!W5</f>
        <v>Q2-2016</v>
      </c>
      <c r="X5" s="883" t="str">
        <f>Model!X5</f>
        <v>Q3-2016</v>
      </c>
      <c r="Y5" s="883" t="str">
        <f>Model!Y5</f>
        <v>Q4-2016</v>
      </c>
      <c r="Z5" s="882" t="str">
        <f>Model!Z5</f>
        <v>FY2016</v>
      </c>
      <c r="AA5" s="883" t="str">
        <f>Model!AA5</f>
        <v>Q1-2017</v>
      </c>
      <c r="AB5" s="883" t="str">
        <f>Model!AB5</f>
        <v>Q2-2017</v>
      </c>
      <c r="AC5" s="883" t="str">
        <f>Model!AC5</f>
        <v>Q3-2017</v>
      </c>
      <c r="AD5" s="883" t="str">
        <f>Model!AD5</f>
        <v>Q4-2017</v>
      </c>
      <c r="AE5" s="882" t="str">
        <f>Model!AE5</f>
        <v>FY2017</v>
      </c>
      <c r="AF5" s="883" t="str">
        <f>Model!AF5</f>
        <v>Q1-2018</v>
      </c>
      <c r="AG5" s="883" t="str">
        <f>Model!AG5</f>
        <v>Q2-2018</v>
      </c>
      <c r="AH5" s="883" t="str">
        <f>Model!AH5</f>
        <v>Q3-2018</v>
      </c>
      <c r="AI5" s="883" t="str">
        <f>Model!AI5</f>
        <v>Q4-2018</v>
      </c>
      <c r="AJ5" s="882" t="str">
        <f>Model!AJ5</f>
        <v>FY2018</v>
      </c>
      <c r="AK5" s="883" t="str">
        <f>Model!AK5</f>
        <v>Q1-2019</v>
      </c>
      <c r="AL5" s="883" t="str">
        <f>Model!AL5</f>
        <v>Q2-2019</v>
      </c>
      <c r="AM5" s="883" t="str">
        <f>Model!AM5</f>
        <v>Q3-2019</v>
      </c>
      <c r="AN5" s="883" t="str">
        <f>Model!AN5</f>
        <v>Q4-2019</v>
      </c>
      <c r="AO5" s="882" t="str">
        <f>Model!AO5</f>
        <v>FY2019</v>
      </c>
      <c r="AP5" s="883" t="str">
        <f>Model!AP5</f>
        <v>Q1-2020</v>
      </c>
      <c r="AQ5" s="883" t="str">
        <f>Model!AQ5</f>
        <v>Q2-2020</v>
      </c>
      <c r="AR5" s="883" t="str">
        <f>Model!AR5</f>
        <v>Q3-2020</v>
      </c>
      <c r="AS5" s="883" t="str">
        <f>Model!AS5</f>
        <v>Q4-2020</v>
      </c>
      <c r="AT5" s="882" t="str">
        <f>Model!AT5</f>
        <v>FY2020</v>
      </c>
      <c r="AU5" s="883" t="str">
        <f>Model!AU5</f>
        <v>Q1-2021</v>
      </c>
      <c r="AV5" s="883" t="str">
        <f>Model!AV5</f>
        <v>Q2-2021</v>
      </c>
      <c r="AW5" s="889" t="str">
        <f>Model!AW5</f>
        <v>Q3-2021</v>
      </c>
      <c r="AX5" s="861" t="str">
        <f>Model!AX5</f>
        <v>Q4-2021</v>
      </c>
      <c r="AY5" s="859" t="str">
        <f>Model!AY5</f>
        <v>FY2021</v>
      </c>
      <c r="AZ5" s="861" t="str">
        <f>Model!AZ5</f>
        <v>Q1-2022</v>
      </c>
      <c r="BA5" s="861" t="str">
        <f>Model!BA5</f>
        <v>Q2-2022</v>
      </c>
      <c r="BB5" s="861" t="str">
        <f>Model!BB5</f>
        <v>Q3-2022</v>
      </c>
      <c r="BC5" s="861" t="str">
        <f>Model!BC5</f>
        <v>Q4-2022</v>
      </c>
      <c r="BD5" s="859" t="str">
        <f>Model!BD5</f>
        <v>FY2022</v>
      </c>
      <c r="BE5" s="859" t="str">
        <f>Model!BE5</f>
        <v>FY2023</v>
      </c>
      <c r="BF5" s="859" t="str">
        <f>Model!BF5</f>
        <v>FY2024</v>
      </c>
      <c r="BG5" s="859" t="str">
        <f>Model!BG5</f>
        <v>FY2025</v>
      </c>
      <c r="BH5" s="869"/>
    </row>
    <row r="6" spans="1:60" s="865" customFormat="1" ht="15" x14ac:dyDescent="0.25">
      <c r="A6" s="1020" t="s">
        <v>616</v>
      </c>
      <c r="B6" s="866"/>
      <c r="C6" s="199"/>
      <c r="D6" s="199"/>
      <c r="E6" s="199"/>
      <c r="F6" s="199"/>
      <c r="G6" s="199"/>
      <c r="H6" s="199"/>
      <c r="I6" s="199"/>
      <c r="J6" s="199"/>
      <c r="K6" s="199"/>
      <c r="L6" s="199"/>
      <c r="M6" s="199"/>
      <c r="N6" s="199"/>
      <c r="O6" s="199"/>
      <c r="P6" s="199"/>
      <c r="Q6" s="199"/>
      <c r="R6" s="199"/>
      <c r="S6" s="199"/>
      <c r="T6" s="199"/>
      <c r="U6" s="199"/>
      <c r="V6" s="199"/>
      <c r="W6" s="199"/>
      <c r="X6" s="199"/>
      <c r="Y6" s="199"/>
      <c r="Z6" s="199"/>
      <c r="AA6" s="199"/>
      <c r="AB6" s="199"/>
      <c r="AC6" s="199"/>
      <c r="AD6" s="199"/>
      <c r="AE6" s="199"/>
      <c r="AF6" s="199"/>
      <c r="AG6" s="199"/>
      <c r="AH6" s="199"/>
      <c r="AI6" s="199"/>
      <c r="AJ6" s="199"/>
      <c r="AK6" s="199"/>
      <c r="AL6" s="199"/>
      <c r="AM6" s="199"/>
      <c r="AN6" s="199"/>
      <c r="AO6" s="199"/>
      <c r="AP6" s="199"/>
      <c r="AQ6" s="199"/>
      <c r="AR6" s="199"/>
      <c r="AS6" s="199"/>
      <c r="AT6" s="199"/>
      <c r="AU6" s="199"/>
      <c r="AV6" s="199"/>
      <c r="AW6" s="891"/>
      <c r="AX6" s="866"/>
      <c r="AY6" s="866"/>
      <c r="AZ6" s="866"/>
      <c r="BA6" s="866"/>
      <c r="BB6" s="866"/>
      <c r="BC6" s="866"/>
      <c r="BD6" s="866"/>
      <c r="BE6" s="866"/>
      <c r="BF6" s="866"/>
      <c r="BG6" s="866"/>
      <c r="BH6" s="871"/>
    </row>
    <row r="7" spans="1:60" s="116" customFormat="1" ht="15" x14ac:dyDescent="0.25">
      <c r="A7" s="41" t="s">
        <v>604</v>
      </c>
      <c r="B7" s="531"/>
      <c r="C7" s="33">
        <v>0.85799999999999998</v>
      </c>
      <c r="D7" s="33">
        <f t="shared" ref="D7:J7" si="4">C13</f>
        <v>3.7570000000000001</v>
      </c>
      <c r="E7" s="33">
        <f t="shared" si="4"/>
        <v>5.4169999999999998</v>
      </c>
      <c r="F7" s="33">
        <f t="shared" si="4"/>
        <v>6.3149999999999995</v>
      </c>
      <c r="G7" s="368">
        <f t="shared" si="4"/>
        <v>13.013</v>
      </c>
      <c r="H7" s="368">
        <f t="shared" si="4"/>
        <v>24.061999999999998</v>
      </c>
      <c r="I7" s="368">
        <f t="shared" si="4"/>
        <v>36.878999999999998</v>
      </c>
      <c r="J7" s="368">
        <f t="shared" si="4"/>
        <v>53.723999999999997</v>
      </c>
      <c r="K7" s="33">
        <f>F13</f>
        <v>13.013</v>
      </c>
      <c r="L7" s="368">
        <f>K13</f>
        <v>53.182000000000002</v>
      </c>
      <c r="M7" s="368">
        <f>L13</f>
        <v>71.932000000000002</v>
      </c>
      <c r="N7" s="368">
        <f>M13</f>
        <v>84.370999999999995</v>
      </c>
      <c r="O7" s="368">
        <f>N13</f>
        <v>113.73499999999999</v>
      </c>
      <c r="P7" s="33">
        <f>K13</f>
        <v>53.182000000000002</v>
      </c>
      <c r="Q7" s="368">
        <f>P13</f>
        <v>129.04300000000001</v>
      </c>
      <c r="R7" s="368">
        <f>Q13</f>
        <v>155.30100000000002</v>
      </c>
      <c r="S7" s="368">
        <f>R13</f>
        <v>164.59500000000003</v>
      </c>
      <c r="T7" s="368">
        <f>S13</f>
        <v>170.33400000000006</v>
      </c>
      <c r="U7" s="33">
        <f>P13</f>
        <v>129.04300000000001</v>
      </c>
      <c r="V7" s="368">
        <f>U13</f>
        <v>180.75400000000002</v>
      </c>
      <c r="W7" s="34">
        <f>V13</f>
        <v>198.70499999999998</v>
      </c>
      <c r="X7" s="34">
        <f>W13</f>
        <v>216.45899999999997</v>
      </c>
      <c r="Y7" s="368">
        <f>X13</f>
        <v>226.81899999999999</v>
      </c>
      <c r="Z7" s="33">
        <f>U13</f>
        <v>180.75400000000002</v>
      </c>
      <c r="AA7" s="368">
        <f>Z13</f>
        <v>266.65499999999997</v>
      </c>
      <c r="AB7" s="34">
        <f>AA13</f>
        <v>306.95100000000002</v>
      </c>
      <c r="AC7" s="34">
        <f>AB13</f>
        <v>343.279</v>
      </c>
      <c r="AD7" s="368">
        <f>AC13</f>
        <v>368.72199999999998</v>
      </c>
      <c r="AE7" s="33">
        <f>Z13</f>
        <v>266.65499999999997</v>
      </c>
      <c r="AF7" s="368">
        <f>AE13</f>
        <v>401.79</v>
      </c>
      <c r="AG7" s="34">
        <f>AF13</f>
        <v>465.86600000000004</v>
      </c>
      <c r="AH7" s="34">
        <f>AG13</f>
        <v>524.00900000000013</v>
      </c>
      <c r="AI7" s="368">
        <f>AH13</f>
        <v>644.46900000000005</v>
      </c>
      <c r="AJ7" s="33">
        <f>AE13</f>
        <v>401.79</v>
      </c>
      <c r="AK7" s="368">
        <f>AJ13</f>
        <v>747.82600000000002</v>
      </c>
      <c r="AL7" s="34">
        <f>AK13</f>
        <v>843.90800000000002</v>
      </c>
      <c r="AM7" s="34">
        <v>941</v>
      </c>
      <c r="AN7" s="368">
        <f>AM13</f>
        <v>983</v>
      </c>
      <c r="AO7" s="33">
        <v>748</v>
      </c>
      <c r="AP7" s="368">
        <f>AO13</f>
        <v>1089</v>
      </c>
      <c r="AQ7" s="34">
        <f>AP13</f>
        <v>1130</v>
      </c>
      <c r="AR7" s="34">
        <f>AQ13</f>
        <v>1197</v>
      </c>
      <c r="AS7" s="368">
        <f>AR13</f>
        <v>1269</v>
      </c>
      <c r="AT7" s="33">
        <f>AO13</f>
        <v>1089</v>
      </c>
      <c r="AU7" s="437">
        <f>AT13</f>
        <v>1468</v>
      </c>
      <c r="AV7" s="34">
        <f>AU13</f>
        <v>1534</v>
      </c>
      <c r="AW7" s="725">
        <f>AV13</f>
        <v>1691</v>
      </c>
      <c r="AX7" s="437"/>
      <c r="AY7" s="438"/>
      <c r="AZ7" s="437"/>
      <c r="BA7" s="437"/>
      <c r="BB7" s="437"/>
      <c r="BC7" s="437"/>
      <c r="BD7" s="438"/>
      <c r="BE7" s="438"/>
      <c r="BF7" s="438"/>
      <c r="BG7" s="438"/>
      <c r="BH7" s="368"/>
    </row>
    <row r="8" spans="1:60" s="356" customFormat="1" ht="15" x14ac:dyDescent="0.25">
      <c r="A8" s="292" t="s">
        <v>485</v>
      </c>
      <c r="B8" s="450"/>
      <c r="C8" s="440"/>
      <c r="D8" s="440"/>
      <c r="E8" s="440"/>
      <c r="F8" s="440"/>
      <c r="G8" s="439"/>
      <c r="H8" s="439"/>
      <c r="I8" s="439"/>
      <c r="J8" s="361">
        <f>K8-SUM(G8,H8,I8)</f>
        <v>0</v>
      </c>
      <c r="K8" s="440"/>
      <c r="L8" s="439"/>
      <c r="M8" s="439"/>
      <c r="N8" s="439"/>
      <c r="O8" s="361">
        <f>P8-SUM(L8,M8,N8)</f>
        <v>0</v>
      </c>
      <c r="P8" s="440"/>
      <c r="Q8" s="439"/>
      <c r="R8" s="439"/>
      <c r="S8" s="439"/>
      <c r="T8" s="361">
        <f>U8-SUM(Q8,R8,S8)</f>
        <v>0</v>
      </c>
      <c r="U8" s="440"/>
      <c r="V8" s="439"/>
      <c r="W8" s="439"/>
      <c r="X8" s="439"/>
      <c r="Y8" s="361">
        <f>Z8-SUM(V8,W8,X8)</f>
        <v>31.366</v>
      </c>
      <c r="Z8" s="35">
        <v>31.366</v>
      </c>
      <c r="AA8" s="439"/>
      <c r="AB8" s="439"/>
      <c r="AC8" s="439"/>
      <c r="AD8" s="361">
        <f>AE8-SUM(AA8,AB8,AC8)</f>
        <v>4.7370000000000001</v>
      </c>
      <c r="AE8" s="35">
        <v>4.7370000000000001</v>
      </c>
      <c r="AF8" s="439"/>
      <c r="AG8" s="439"/>
      <c r="AH8" s="439"/>
      <c r="AI8" s="361">
        <f>AJ8-SUM(AF8,AG8,AH8)</f>
        <v>0</v>
      </c>
      <c r="AJ8" s="440"/>
      <c r="AK8" s="439"/>
      <c r="AL8" s="439"/>
      <c r="AM8" s="439"/>
      <c r="AN8" s="361">
        <f>AO8-SUM(AK8,AL8,AM8)</f>
        <v>0</v>
      </c>
      <c r="AO8" s="440"/>
      <c r="AP8" s="439"/>
      <c r="AQ8" s="439"/>
      <c r="AR8" s="439"/>
      <c r="AS8" s="361">
        <f>AT8-SUM(AP8,AQ8,AR8)</f>
        <v>0</v>
      </c>
      <c r="AT8" s="440"/>
      <c r="AU8" s="439"/>
      <c r="AV8" s="439"/>
      <c r="AW8" s="726"/>
      <c r="AX8" s="439"/>
      <c r="AY8" s="440"/>
      <c r="AZ8" s="439"/>
      <c r="BA8" s="439"/>
      <c r="BB8" s="439"/>
      <c r="BC8" s="439"/>
      <c r="BD8" s="440"/>
      <c r="BE8" s="440"/>
      <c r="BF8" s="440"/>
      <c r="BG8" s="440"/>
      <c r="BH8" s="361"/>
    </row>
    <row r="9" spans="1:60" s="356" customFormat="1" ht="15" x14ac:dyDescent="0.25">
      <c r="A9" s="292" t="s">
        <v>481</v>
      </c>
      <c r="B9" s="450"/>
      <c r="C9" s="35">
        <v>-1.508</v>
      </c>
      <c r="D9" s="35">
        <v>-2.2309999999999999</v>
      </c>
      <c r="E9" s="35">
        <v>-2.75</v>
      </c>
      <c r="F9" s="35">
        <v>-3.4239999999999999</v>
      </c>
      <c r="G9" s="361">
        <v>-3.1070000000000002</v>
      </c>
      <c r="H9" s="361">
        <v>-1.601</v>
      </c>
      <c r="I9" s="361">
        <v>-6.3920000000000003</v>
      </c>
      <c r="J9" s="361">
        <f>K9-SUM(G9,H9,I9)</f>
        <v>-8.0599999999999987</v>
      </c>
      <c r="K9" s="35">
        <v>-19.16</v>
      </c>
      <c r="L9" s="361">
        <v>-9.3000000000000007</v>
      </c>
      <c r="M9" s="361">
        <v>-9.2710000000000008</v>
      </c>
      <c r="N9" s="361">
        <v>-11.179</v>
      </c>
      <c r="O9" s="361">
        <f>P9-SUM(L9,M9,N9)</f>
        <v>-10.152999999999999</v>
      </c>
      <c r="P9" s="35">
        <v>-39.902999999999999</v>
      </c>
      <c r="Q9" s="361">
        <v>-11.786</v>
      </c>
      <c r="R9" s="361">
        <v>-17.286999999999999</v>
      </c>
      <c r="S9" s="361">
        <v>-21.593</v>
      </c>
      <c r="T9" s="361">
        <f>U9-SUM(Q9,R9,S9)</f>
        <v>-2.0940000000000012</v>
      </c>
      <c r="U9" s="35">
        <v>-52.76</v>
      </c>
      <c r="V9" s="361">
        <v>-15.704000000000001</v>
      </c>
      <c r="W9" s="36">
        <v>-24.459</v>
      </c>
      <c r="X9" s="36">
        <v>-16.571000000000002</v>
      </c>
      <c r="Y9" s="361">
        <f>Z9-SUM(V9,W9,X9)</f>
        <v>-22.413000000000011</v>
      </c>
      <c r="Z9" s="35">
        <v>-79.147000000000006</v>
      </c>
      <c r="AA9" s="361">
        <v>-23.015999999999998</v>
      </c>
      <c r="AB9" s="36">
        <v>-25.384</v>
      </c>
      <c r="AC9" s="36">
        <v>-39.481000000000002</v>
      </c>
      <c r="AD9" s="361">
        <f>AE9-SUM(AA9,AB9,AC9)</f>
        <v>-34.629000000000005</v>
      </c>
      <c r="AE9" s="35">
        <v>-122.51</v>
      </c>
      <c r="AF9" s="361">
        <v>-44.680999999999997</v>
      </c>
      <c r="AG9" s="36">
        <v>-49.603999999999999</v>
      </c>
      <c r="AH9" s="36">
        <v>-54.088999999999999</v>
      </c>
      <c r="AI9" s="361">
        <f>AJ9-SUM(AF9,AG9,AH9)</f>
        <v>-60.75</v>
      </c>
      <c r="AJ9" s="35">
        <v>-209.124</v>
      </c>
      <c r="AK9" s="361">
        <v>-54.189</v>
      </c>
      <c r="AL9" s="36">
        <v>-61.237000000000002</v>
      </c>
      <c r="AM9" s="36">
        <v>-59</v>
      </c>
      <c r="AN9" s="361">
        <f>AO9-SUM(AK9,AL9,AM9)</f>
        <v>-75.574000000000012</v>
      </c>
      <c r="AO9" s="35">
        <v>-250</v>
      </c>
      <c r="AP9" s="361">
        <v>-81</v>
      </c>
      <c r="AQ9" s="36">
        <v>-62</v>
      </c>
      <c r="AR9" s="36">
        <v>-77</v>
      </c>
      <c r="AS9" s="361">
        <f>AT9-SUM(AP9,AQ9,AR9)</f>
        <v>-92</v>
      </c>
      <c r="AT9" s="35">
        <v>-312</v>
      </c>
      <c r="AU9" s="439">
        <v>-116</v>
      </c>
      <c r="AV9" s="439">
        <v>-125</v>
      </c>
      <c r="AW9" s="726">
        <v>-140</v>
      </c>
      <c r="AX9" s="439"/>
      <c r="AY9" s="440"/>
      <c r="AZ9" s="439"/>
      <c r="BA9" s="439"/>
      <c r="BB9" s="439"/>
      <c r="BC9" s="439"/>
      <c r="BD9" s="440"/>
      <c r="BE9" s="440"/>
      <c r="BF9" s="440"/>
      <c r="BG9" s="440"/>
      <c r="BH9" s="361"/>
    </row>
    <row r="10" spans="1:60" s="356" customFormat="1" ht="15" x14ac:dyDescent="0.25">
      <c r="A10" s="292" t="s">
        <v>482</v>
      </c>
      <c r="B10" s="450"/>
      <c r="C10" s="440"/>
      <c r="D10" s="440"/>
      <c r="E10" s="440"/>
      <c r="F10" s="440"/>
      <c r="G10" s="439"/>
      <c r="H10" s="361">
        <v>3.1739999999999999</v>
      </c>
      <c r="I10" s="361">
        <v>4.8780000000000001</v>
      </c>
      <c r="J10" s="361">
        <f>K10-SUM(G10,H10,I10)</f>
        <v>-10.123999999999999</v>
      </c>
      <c r="K10" s="35">
        <v>-2.0720000000000001</v>
      </c>
      <c r="L10" s="361">
        <v>8.1199999999999992</v>
      </c>
      <c r="M10" s="361">
        <v>1.5409999999999999</v>
      </c>
      <c r="N10" s="361">
        <v>14.609</v>
      </c>
      <c r="O10" s="361">
        <f>P10-SUM(L10,M10,N10)</f>
        <v>-5.6709999999999994</v>
      </c>
      <c r="P10" s="35">
        <v>18.599</v>
      </c>
      <c r="Q10" s="361">
        <v>10.762</v>
      </c>
      <c r="R10" s="361">
        <v>0.56699999999999995</v>
      </c>
      <c r="S10" s="361">
        <v>1.306</v>
      </c>
      <c r="T10" s="361">
        <f>U10-SUM(Q10,R10,S10)</f>
        <v>-11.165000000000001</v>
      </c>
      <c r="U10" s="35">
        <v>1.47</v>
      </c>
      <c r="V10" s="361">
        <v>3.3839999999999999</v>
      </c>
      <c r="W10" s="36">
        <v>3.25</v>
      </c>
      <c r="X10" s="36">
        <v>-19.523</v>
      </c>
      <c r="Y10" s="361">
        <f>Z10-SUM(V10,W10,X10)</f>
        <v>-7.1950000000000003</v>
      </c>
      <c r="Z10" s="35">
        <v>-20.084</v>
      </c>
      <c r="AA10" s="361">
        <v>-3.51</v>
      </c>
      <c r="AB10" s="36">
        <v>8.9149999999999991</v>
      </c>
      <c r="AC10" s="36">
        <v>4.7679999999999998</v>
      </c>
      <c r="AD10" s="361">
        <f>AE10-SUM(AA10,AB10,AC10)</f>
        <v>-5.8309999999999986</v>
      </c>
      <c r="AE10" s="35">
        <v>4.3419999999999996</v>
      </c>
      <c r="AF10" s="361">
        <v>0.501</v>
      </c>
      <c r="AG10" s="36">
        <v>-10.917</v>
      </c>
      <c r="AH10" s="36">
        <v>-13.256</v>
      </c>
      <c r="AI10" s="361">
        <f>AJ10-SUM(AF10,AG10,AH10)</f>
        <v>-2.6219999999999999</v>
      </c>
      <c r="AJ10" s="35">
        <v>-26.294</v>
      </c>
      <c r="AK10" s="361">
        <v>37.75</v>
      </c>
      <c r="AL10" s="36">
        <v>5.5979999999999999</v>
      </c>
      <c r="AM10" s="36">
        <v>-37</v>
      </c>
      <c r="AN10" s="361">
        <f>AO10-SUM(AK10,AL10,AM10)</f>
        <v>29.652000000000001</v>
      </c>
      <c r="AO10" s="35">
        <v>36</v>
      </c>
      <c r="AP10" s="361">
        <v>3</v>
      </c>
      <c r="AQ10" s="36">
        <v>9</v>
      </c>
      <c r="AR10" s="36">
        <v>-26</v>
      </c>
      <c r="AS10" s="361">
        <f>AT10-SUM(AP10,AQ10,AR10)</f>
        <v>80</v>
      </c>
      <c r="AT10" s="35">
        <v>66</v>
      </c>
      <c r="AU10" s="439">
        <v>-1</v>
      </c>
      <c r="AV10" s="439">
        <v>7</v>
      </c>
      <c r="AW10" s="726">
        <v>-64</v>
      </c>
      <c r="AX10" s="439"/>
      <c r="AY10" s="440"/>
      <c r="AZ10" s="439"/>
      <c r="BA10" s="439"/>
      <c r="BB10" s="439"/>
      <c r="BC10" s="439"/>
      <c r="BD10" s="440"/>
      <c r="BE10" s="440"/>
      <c r="BF10" s="440"/>
      <c r="BG10" s="440"/>
      <c r="BH10" s="361"/>
    </row>
    <row r="11" spans="1:60" s="356" customFormat="1" ht="15" x14ac:dyDescent="0.25">
      <c r="A11" s="292" t="s">
        <v>483</v>
      </c>
      <c r="B11" s="450"/>
      <c r="C11" s="440"/>
      <c r="D11" s="440"/>
      <c r="E11" s="440"/>
      <c r="F11" s="440"/>
      <c r="G11" s="439"/>
      <c r="H11" s="439"/>
      <c r="I11" s="439"/>
      <c r="J11" s="361">
        <f>K11-SUM(G11,H11,I11)</f>
        <v>0</v>
      </c>
      <c r="K11" s="440"/>
      <c r="L11" s="439"/>
      <c r="M11" s="439"/>
      <c r="N11" s="439"/>
      <c r="O11" s="361">
        <f>P11-SUM(L11,M11,N11)</f>
        <v>0</v>
      </c>
      <c r="P11" s="440"/>
      <c r="Q11" s="439"/>
      <c r="R11" s="439"/>
      <c r="S11" s="439"/>
      <c r="T11" s="361">
        <f>U11-SUM(Q11,R11,S11)</f>
        <v>0</v>
      </c>
      <c r="U11" s="440"/>
      <c r="V11" s="439"/>
      <c r="W11" s="439"/>
      <c r="X11" s="439"/>
      <c r="Y11" s="361">
        <f>Z11-SUM(V11,W11,X11)</f>
        <v>0</v>
      </c>
      <c r="Z11" s="440"/>
      <c r="AA11" s="439"/>
      <c r="AB11" s="439"/>
      <c r="AC11" s="439"/>
      <c r="AD11" s="361">
        <f>AE11-SUM(AA11,AB11,AC11)</f>
        <v>0</v>
      </c>
      <c r="AE11" s="440"/>
      <c r="AF11" s="361">
        <v>37.139000000000003</v>
      </c>
      <c r="AG11" s="439"/>
      <c r="AH11" s="439"/>
      <c r="AI11" s="361">
        <f>AJ11-SUM(AF11,AG11,AH11)</f>
        <v>0</v>
      </c>
      <c r="AJ11" s="35">
        <v>37.139000000000003</v>
      </c>
      <c r="AK11" s="439"/>
      <c r="AL11" s="439"/>
      <c r="AM11" s="439"/>
      <c r="AN11" s="361">
        <f>AO11-SUM(AK11,AL11,AM11)</f>
        <v>0</v>
      </c>
      <c r="AO11" s="440"/>
      <c r="AP11" s="439"/>
      <c r="AQ11" s="439"/>
      <c r="AR11" s="439"/>
      <c r="AS11" s="361">
        <f>AT11-SUM(AP11,AQ11,AR11)</f>
        <v>0</v>
      </c>
      <c r="AT11" s="440"/>
      <c r="AU11" s="439"/>
      <c r="AV11" s="439"/>
      <c r="AW11" s="726"/>
      <c r="AX11" s="439"/>
      <c r="AY11" s="440"/>
      <c r="AZ11" s="439"/>
      <c r="BA11" s="439"/>
      <c r="BB11" s="439"/>
      <c r="BC11" s="439"/>
      <c r="BD11" s="440"/>
      <c r="BE11" s="440"/>
      <c r="BF11" s="440"/>
      <c r="BG11" s="440"/>
      <c r="BH11" s="361"/>
    </row>
    <row r="12" spans="1:60" s="356" customFormat="1" ht="15" x14ac:dyDescent="0.25">
      <c r="A12" s="466" t="s">
        <v>484</v>
      </c>
      <c r="B12" s="467"/>
      <c r="C12" s="479">
        <v>4.407</v>
      </c>
      <c r="D12" s="479">
        <v>3.891</v>
      </c>
      <c r="E12" s="479">
        <v>3.6480000000000001</v>
      </c>
      <c r="F12" s="479">
        <v>10.122</v>
      </c>
      <c r="G12" s="459">
        <v>14.156000000000001</v>
      </c>
      <c r="H12" s="459">
        <v>11.244</v>
      </c>
      <c r="I12" s="459">
        <v>18.359000000000002</v>
      </c>
      <c r="J12" s="459">
        <f>K12-SUM(G12,H12,I12)</f>
        <v>17.642000000000003</v>
      </c>
      <c r="K12" s="479">
        <v>61.401000000000003</v>
      </c>
      <c r="L12" s="459">
        <v>19.93</v>
      </c>
      <c r="M12" s="459">
        <v>20.169</v>
      </c>
      <c r="N12" s="459">
        <v>25.934000000000001</v>
      </c>
      <c r="O12" s="459">
        <f>P12-SUM(L12,M12,N12)</f>
        <v>31.132000000000005</v>
      </c>
      <c r="P12" s="479">
        <v>97.165000000000006</v>
      </c>
      <c r="Q12" s="459">
        <v>27.282</v>
      </c>
      <c r="R12" s="459">
        <v>26.013999999999999</v>
      </c>
      <c r="S12" s="459">
        <v>26.026</v>
      </c>
      <c r="T12" s="459">
        <f>U12-SUM(Q12,R12,S12)</f>
        <v>23.679000000000002</v>
      </c>
      <c r="U12" s="479">
        <v>103.001</v>
      </c>
      <c r="V12" s="459">
        <v>30.271000000000001</v>
      </c>
      <c r="W12" s="459">
        <v>38.963000000000001</v>
      </c>
      <c r="X12" s="459">
        <v>46.454000000000001</v>
      </c>
      <c r="Y12" s="459">
        <f>Z12-SUM(V12,W12,X12)</f>
        <v>38.077999999999975</v>
      </c>
      <c r="Z12" s="479">
        <v>153.76599999999999</v>
      </c>
      <c r="AA12" s="459">
        <v>66.822000000000003</v>
      </c>
      <c r="AB12" s="459">
        <v>52.796999999999997</v>
      </c>
      <c r="AC12" s="459">
        <v>60.155999999999999</v>
      </c>
      <c r="AD12" s="459">
        <f>AE12-SUM(AA12,AB12,AC12)</f>
        <v>68.790999999999997</v>
      </c>
      <c r="AE12" s="479">
        <v>248.566</v>
      </c>
      <c r="AF12" s="459">
        <v>71.117000000000004</v>
      </c>
      <c r="AG12" s="459">
        <v>118.664</v>
      </c>
      <c r="AH12" s="459">
        <v>187.80500000000001</v>
      </c>
      <c r="AI12" s="459">
        <f>AJ12-SUM(AF12,AG12,AH12)</f>
        <v>166.72900000000004</v>
      </c>
      <c r="AJ12" s="479">
        <v>544.31500000000005</v>
      </c>
      <c r="AK12" s="459">
        <v>112.521</v>
      </c>
      <c r="AL12" s="459">
        <v>153.22300000000001</v>
      </c>
      <c r="AM12" s="459">
        <v>138</v>
      </c>
      <c r="AN12" s="459">
        <f>AO12-SUM(AK12,AL12,AM12)</f>
        <v>151.25599999999997</v>
      </c>
      <c r="AO12" s="479">
        <v>555</v>
      </c>
      <c r="AP12" s="459">
        <v>119</v>
      </c>
      <c r="AQ12" s="459">
        <v>120</v>
      </c>
      <c r="AR12" s="459">
        <v>175</v>
      </c>
      <c r="AS12" s="459">
        <f>AT12-SUM(AP12,AQ12,AR12)</f>
        <v>211</v>
      </c>
      <c r="AT12" s="479">
        <v>625</v>
      </c>
      <c r="AU12" s="459">
        <v>183</v>
      </c>
      <c r="AV12" s="459">
        <v>275</v>
      </c>
      <c r="AW12" s="723">
        <v>249</v>
      </c>
      <c r="AX12" s="459"/>
      <c r="AY12" s="479"/>
      <c r="AZ12" s="459"/>
      <c r="BA12" s="459"/>
      <c r="BB12" s="459"/>
      <c r="BC12" s="459"/>
      <c r="BD12" s="479"/>
      <c r="BE12" s="479"/>
      <c r="BF12" s="479"/>
      <c r="BG12" s="479"/>
      <c r="BH12" s="361"/>
    </row>
    <row r="13" spans="1:60" s="116" customFormat="1" ht="15" x14ac:dyDescent="0.25">
      <c r="A13" s="41" t="s">
        <v>605</v>
      </c>
      <c r="B13" s="529"/>
      <c r="C13" s="29">
        <f t="shared" ref="C13:AW13" si="5">SUM(C7:C12)</f>
        <v>3.7570000000000001</v>
      </c>
      <c r="D13" s="29">
        <f t="shared" si="5"/>
        <v>5.4169999999999998</v>
      </c>
      <c r="E13" s="29">
        <f t="shared" si="5"/>
        <v>6.3149999999999995</v>
      </c>
      <c r="F13" s="29">
        <f t="shared" si="5"/>
        <v>13.013</v>
      </c>
      <c r="G13" s="30">
        <f t="shared" si="5"/>
        <v>24.061999999999998</v>
      </c>
      <c r="H13" s="30">
        <f t="shared" si="5"/>
        <v>36.878999999999998</v>
      </c>
      <c r="I13" s="30">
        <f t="shared" si="5"/>
        <v>53.723999999999997</v>
      </c>
      <c r="J13" s="30">
        <f t="shared" si="5"/>
        <v>53.182000000000009</v>
      </c>
      <c r="K13" s="29">
        <f t="shared" si="5"/>
        <v>53.182000000000002</v>
      </c>
      <c r="L13" s="30">
        <f t="shared" si="5"/>
        <v>71.932000000000002</v>
      </c>
      <c r="M13" s="30">
        <f t="shared" si="5"/>
        <v>84.370999999999995</v>
      </c>
      <c r="N13" s="30">
        <f t="shared" si="5"/>
        <v>113.73499999999999</v>
      </c>
      <c r="O13" s="30">
        <f t="shared" si="5"/>
        <v>129.04300000000001</v>
      </c>
      <c r="P13" s="29">
        <f t="shared" si="5"/>
        <v>129.04300000000001</v>
      </c>
      <c r="Q13" s="30">
        <f t="shared" si="5"/>
        <v>155.30100000000002</v>
      </c>
      <c r="R13" s="30">
        <f t="shared" si="5"/>
        <v>164.59500000000003</v>
      </c>
      <c r="S13" s="30">
        <f t="shared" si="5"/>
        <v>170.33400000000006</v>
      </c>
      <c r="T13" s="30">
        <f t="shared" si="5"/>
        <v>180.75400000000008</v>
      </c>
      <c r="U13" s="29">
        <f t="shared" si="5"/>
        <v>180.75400000000002</v>
      </c>
      <c r="V13" s="30">
        <f t="shared" si="5"/>
        <v>198.70499999999998</v>
      </c>
      <c r="W13" s="31">
        <f t="shared" si="5"/>
        <v>216.45899999999997</v>
      </c>
      <c r="X13" s="31">
        <f t="shared" si="5"/>
        <v>226.81899999999999</v>
      </c>
      <c r="Y13" s="30">
        <f t="shared" si="5"/>
        <v>266.65499999999997</v>
      </c>
      <c r="Z13" s="29">
        <f t="shared" si="5"/>
        <v>266.65499999999997</v>
      </c>
      <c r="AA13" s="30">
        <f t="shared" si="5"/>
        <v>306.95100000000002</v>
      </c>
      <c r="AB13" s="31">
        <f t="shared" si="5"/>
        <v>343.279</v>
      </c>
      <c r="AC13" s="31">
        <f t="shared" si="5"/>
        <v>368.72199999999998</v>
      </c>
      <c r="AD13" s="30">
        <f t="shared" si="5"/>
        <v>401.78999999999996</v>
      </c>
      <c r="AE13" s="29">
        <f t="shared" si="5"/>
        <v>401.79</v>
      </c>
      <c r="AF13" s="30">
        <f t="shared" si="5"/>
        <v>465.86600000000004</v>
      </c>
      <c r="AG13" s="31">
        <f t="shared" si="5"/>
        <v>524.00900000000013</v>
      </c>
      <c r="AH13" s="31">
        <f t="shared" si="5"/>
        <v>644.46900000000005</v>
      </c>
      <c r="AI13" s="30">
        <f t="shared" si="5"/>
        <v>747.82600000000014</v>
      </c>
      <c r="AJ13" s="29">
        <f t="shared" si="5"/>
        <v>747.82600000000002</v>
      </c>
      <c r="AK13" s="30">
        <f t="shared" si="5"/>
        <v>843.90800000000002</v>
      </c>
      <c r="AL13" s="31">
        <f t="shared" si="5"/>
        <v>941.49199999999996</v>
      </c>
      <c r="AM13" s="31">
        <f t="shared" si="5"/>
        <v>983</v>
      </c>
      <c r="AN13" s="30">
        <f t="shared" si="5"/>
        <v>1088.3339999999998</v>
      </c>
      <c r="AO13" s="29">
        <f t="shared" si="5"/>
        <v>1089</v>
      </c>
      <c r="AP13" s="30">
        <f t="shared" si="5"/>
        <v>1130</v>
      </c>
      <c r="AQ13" s="31">
        <f t="shared" si="5"/>
        <v>1197</v>
      </c>
      <c r="AR13" s="31">
        <f t="shared" si="5"/>
        <v>1269</v>
      </c>
      <c r="AS13" s="30">
        <f t="shared" si="5"/>
        <v>1468</v>
      </c>
      <c r="AT13" s="29">
        <f t="shared" si="5"/>
        <v>1468</v>
      </c>
      <c r="AU13" s="44">
        <f t="shared" si="5"/>
        <v>1534</v>
      </c>
      <c r="AV13" s="44">
        <f t="shared" si="5"/>
        <v>1691</v>
      </c>
      <c r="AW13" s="729">
        <f t="shared" si="5"/>
        <v>1736</v>
      </c>
      <c r="AX13" s="44"/>
      <c r="AY13" s="45"/>
      <c r="AZ13" s="44"/>
      <c r="BA13" s="44"/>
      <c r="BB13" s="44"/>
      <c r="BC13" s="44"/>
      <c r="BD13" s="45"/>
      <c r="BE13" s="45"/>
      <c r="BF13" s="45"/>
      <c r="BG13" s="45"/>
      <c r="BH13" s="368"/>
    </row>
    <row r="14" spans="1:60" s="120" customFormat="1" ht="15" x14ac:dyDescent="0.25">
      <c r="A14" s="216"/>
      <c r="B14" s="215"/>
      <c r="C14" s="100"/>
      <c r="D14" s="100"/>
      <c r="E14" s="100"/>
      <c r="F14" s="100"/>
      <c r="G14" s="1005"/>
      <c r="H14" s="1005"/>
      <c r="I14" s="1005"/>
      <c r="J14" s="1005"/>
      <c r="K14" s="100"/>
      <c r="L14" s="1005"/>
      <c r="M14" s="1005"/>
      <c r="N14" s="1005"/>
      <c r="O14" s="1005"/>
      <c r="P14" s="100"/>
      <c r="Q14" s="1005"/>
      <c r="R14" s="1005"/>
      <c r="S14" s="1005"/>
      <c r="T14" s="1005"/>
      <c r="U14" s="100"/>
      <c r="V14" s="1005"/>
      <c r="W14" s="1005"/>
      <c r="X14" s="1005"/>
      <c r="Y14" s="1005"/>
      <c r="Z14" s="100"/>
      <c r="AA14" s="1005"/>
      <c r="AB14" s="1005"/>
      <c r="AC14" s="1005"/>
      <c r="AD14" s="1005"/>
      <c r="AE14" s="100"/>
      <c r="AF14" s="1005"/>
      <c r="AG14" s="1005"/>
      <c r="AH14" s="1005"/>
      <c r="AI14" s="1005"/>
      <c r="AJ14" s="100"/>
      <c r="AK14" s="1005"/>
      <c r="AL14" s="1005"/>
      <c r="AM14" s="1005"/>
      <c r="AN14" s="1005"/>
      <c r="AO14" s="100"/>
      <c r="AP14" s="1005"/>
      <c r="AQ14" s="1005"/>
      <c r="AR14" s="1005"/>
      <c r="AS14" s="1005"/>
      <c r="AT14" s="100"/>
      <c r="AU14" s="1005"/>
      <c r="AV14" s="1005"/>
      <c r="AW14" s="727"/>
      <c r="AX14" s="1005"/>
      <c r="AY14" s="100"/>
      <c r="AZ14" s="1005"/>
      <c r="BA14" s="1005"/>
      <c r="BB14" s="1005"/>
      <c r="BC14" s="1005"/>
      <c r="BD14" s="100"/>
      <c r="BE14" s="100"/>
      <c r="BF14" s="100"/>
      <c r="BG14" s="100"/>
      <c r="BH14" s="366"/>
    </row>
    <row r="15" spans="1:60" s="112" customFormat="1" ht="15" x14ac:dyDescent="0.25">
      <c r="A15" s="901" t="s">
        <v>633</v>
      </c>
      <c r="B15" s="1020"/>
      <c r="C15" s="1043"/>
      <c r="D15" s="1043"/>
      <c r="E15" s="1043"/>
      <c r="F15" s="1043"/>
      <c r="G15" s="1043"/>
      <c r="H15" s="1043"/>
      <c r="I15" s="1043"/>
      <c r="J15" s="1043"/>
      <c r="K15" s="1043"/>
      <c r="L15" s="1043"/>
      <c r="M15" s="1043"/>
      <c r="N15" s="1043"/>
      <c r="O15" s="1043"/>
      <c r="P15" s="1043"/>
      <c r="Q15" s="1043"/>
      <c r="R15" s="1043"/>
      <c r="S15" s="1043"/>
      <c r="T15" s="1043"/>
      <c r="U15" s="1043"/>
      <c r="V15" s="1043"/>
      <c r="W15" s="1043"/>
      <c r="X15" s="1043"/>
      <c r="Y15" s="1043"/>
      <c r="Z15" s="1043"/>
      <c r="AA15" s="1043"/>
      <c r="AB15" s="1043"/>
      <c r="AC15" s="1043"/>
      <c r="AD15" s="1043"/>
      <c r="AE15" s="1043"/>
      <c r="AF15" s="1043"/>
      <c r="AG15" s="1043"/>
      <c r="AH15" s="1043"/>
      <c r="AI15" s="1043"/>
      <c r="AJ15" s="1043"/>
      <c r="AK15" s="1043"/>
      <c r="AL15" s="1043"/>
      <c r="AM15" s="1043"/>
      <c r="AN15" s="1043"/>
      <c r="AO15" s="1043"/>
      <c r="AP15" s="1043"/>
      <c r="AQ15" s="1043"/>
      <c r="AR15" s="1043"/>
      <c r="AS15" s="1043"/>
      <c r="AT15" s="1043"/>
      <c r="AU15" s="1043"/>
      <c r="AV15" s="1043"/>
      <c r="AW15" s="1044"/>
      <c r="AX15" s="1043"/>
      <c r="AY15" s="1043"/>
      <c r="AZ15" s="1043"/>
      <c r="BA15" s="1043"/>
      <c r="BB15" s="1043"/>
      <c r="BC15" s="1043"/>
      <c r="BD15" s="1043"/>
      <c r="BE15" s="1043"/>
      <c r="BF15" s="1043"/>
      <c r="BG15" s="1043"/>
      <c r="BH15" s="1034"/>
    </row>
    <row r="16" spans="1:60" s="356" customFormat="1" ht="15" x14ac:dyDescent="0.25">
      <c r="A16" s="452" t="s">
        <v>514</v>
      </c>
      <c r="B16" s="450"/>
      <c r="C16" s="440"/>
      <c r="D16" s="440"/>
      <c r="E16" s="440"/>
      <c r="F16" s="440"/>
      <c r="G16" s="439"/>
      <c r="H16" s="439"/>
      <c r="I16" s="439"/>
      <c r="J16" s="439"/>
      <c r="K16" s="440">
        <v>1479.1659999999999</v>
      </c>
      <c r="L16" s="439"/>
      <c r="M16" s="439"/>
      <c r="N16" s="439"/>
      <c r="O16" s="439"/>
      <c r="P16" s="440">
        <v>1471.643</v>
      </c>
      <c r="Q16" s="439"/>
      <c r="R16" s="439"/>
      <c r="S16" s="439"/>
      <c r="T16" s="439"/>
      <c r="U16" s="440">
        <v>1957.3969999999999</v>
      </c>
      <c r="V16" s="439">
        <v>628.28899999999999</v>
      </c>
      <c r="W16" s="439">
        <v>830.67499999999995</v>
      </c>
      <c r="X16" s="439">
        <v>1432.4559999999999</v>
      </c>
      <c r="Y16" s="439">
        <f>Z16-SUM(V16,W16,X16)</f>
        <v>1309.2860000000001</v>
      </c>
      <c r="Z16" s="440">
        <v>4200.7060000000001</v>
      </c>
      <c r="AA16" s="439">
        <v>1275.2080000000001</v>
      </c>
      <c r="AB16" s="439">
        <v>1523.0419999999999</v>
      </c>
      <c r="AC16" s="439">
        <v>1582.143</v>
      </c>
      <c r="AD16" s="439">
        <f>AE16-SUM(AA16,AB16,AC16)</f>
        <v>1841.0460000000003</v>
      </c>
      <c r="AE16" s="440">
        <v>6221.4390000000003</v>
      </c>
      <c r="AF16" s="439">
        <v>1844.4469999999999</v>
      </c>
      <c r="AG16" s="439">
        <v>2246.6370000000002</v>
      </c>
      <c r="AH16" s="439">
        <v>5132.9480000000003</v>
      </c>
      <c r="AI16" s="439">
        <f>AJ16-SUM(AF16,AG16,AH16)</f>
        <v>5647.4750000000004</v>
      </c>
      <c r="AJ16" s="440">
        <v>14871.507</v>
      </c>
      <c r="AK16" s="439">
        <v>2329.569</v>
      </c>
      <c r="AL16" s="439">
        <v>3480</v>
      </c>
      <c r="AM16" s="439">
        <v>3127</v>
      </c>
      <c r="AN16" s="439">
        <f>AO16-SUM(AK16,AL16,AM16)</f>
        <v>3716.4310000000005</v>
      </c>
      <c r="AO16" s="440">
        <v>12653</v>
      </c>
      <c r="AP16" s="439">
        <v>2768</v>
      </c>
      <c r="AQ16" s="439">
        <v>3090</v>
      </c>
      <c r="AR16" s="439">
        <v>4215</v>
      </c>
      <c r="AS16" s="439">
        <f>AT16-SUM(AP16,AQ16,AR16)</f>
        <v>5134</v>
      </c>
      <c r="AT16" s="440">
        <v>15207</v>
      </c>
      <c r="AU16" s="439">
        <v>4424</v>
      </c>
      <c r="AV16" s="439">
        <v>5205</v>
      </c>
      <c r="AW16" s="726">
        <v>6414</v>
      </c>
      <c r="AX16" s="439"/>
      <c r="AY16" s="440"/>
      <c r="AZ16" s="439"/>
      <c r="BA16" s="439"/>
      <c r="BB16" s="439"/>
      <c r="BC16" s="439"/>
      <c r="BD16" s="440"/>
      <c r="BE16" s="440"/>
      <c r="BF16" s="440"/>
      <c r="BG16" s="440"/>
      <c r="BH16" s="361"/>
    </row>
    <row r="17" spans="1:60" s="356" customFormat="1" ht="15" x14ac:dyDescent="0.25">
      <c r="A17" s="452" t="s">
        <v>515</v>
      </c>
      <c r="B17" s="450"/>
      <c r="C17" s="440"/>
      <c r="D17" s="440"/>
      <c r="E17" s="440"/>
      <c r="F17" s="440"/>
      <c r="G17" s="439"/>
      <c r="H17" s="439"/>
      <c r="I17" s="439"/>
      <c r="J17" s="439"/>
      <c r="K17" s="440"/>
      <c r="L17" s="439"/>
      <c r="M17" s="439"/>
      <c r="N17" s="439"/>
      <c r="O17" s="439"/>
      <c r="P17" s="440">
        <v>477.08199999999999</v>
      </c>
      <c r="Q17" s="439"/>
      <c r="R17" s="439"/>
      <c r="S17" s="439"/>
      <c r="T17" s="439"/>
      <c r="U17" s="440">
        <v>318.51299999999998</v>
      </c>
      <c r="V17" s="439">
        <v>119.47799999999999</v>
      </c>
      <c r="W17" s="439">
        <v>132.93799999999999</v>
      </c>
      <c r="X17" s="439">
        <v>314.94099999999997</v>
      </c>
      <c r="Y17" s="439">
        <f>Z17-SUM(V17,W17,X17)</f>
        <v>497.89800000000014</v>
      </c>
      <c r="Z17" s="440">
        <v>1065.2550000000001</v>
      </c>
      <c r="AA17" s="439">
        <v>503.93299999999999</v>
      </c>
      <c r="AB17" s="439">
        <v>463.58699999999999</v>
      </c>
      <c r="AC17" s="439">
        <v>563.56100000000004</v>
      </c>
      <c r="AD17" s="439">
        <f>AE17-SUM(AA17,AB17,AC17)</f>
        <v>495.98099999999977</v>
      </c>
      <c r="AE17" s="440">
        <v>2027.0619999999999</v>
      </c>
      <c r="AF17" s="439">
        <v>508.70299999999997</v>
      </c>
      <c r="AG17" s="439">
        <v>527.23</v>
      </c>
      <c r="AH17" s="439">
        <v>409.3</v>
      </c>
      <c r="AI17" s="439">
        <f>AJ17-SUM(AF17,AG17,AH17)</f>
        <v>311.91399999999999</v>
      </c>
      <c r="AJ17" s="440">
        <v>1757.1469999999999</v>
      </c>
      <c r="AK17" s="439">
        <v>779.41300000000001</v>
      </c>
      <c r="AL17" s="439">
        <v>689.73500000000001</v>
      </c>
      <c r="AM17" s="439">
        <v>669</v>
      </c>
      <c r="AN17" s="439">
        <f>AO17-SUM(AK17,AL17,AM17)</f>
        <v>840.85199999999986</v>
      </c>
      <c r="AO17" s="440">
        <v>2979</v>
      </c>
      <c r="AP17" s="439">
        <v>900</v>
      </c>
      <c r="AQ17" s="439">
        <v>1400</v>
      </c>
      <c r="AR17" s="439">
        <v>1744</v>
      </c>
      <c r="AS17" s="439">
        <f>AT17-SUM(AP17,AQ17,AR17)</f>
        <v>2618</v>
      </c>
      <c r="AT17" s="440">
        <v>6662</v>
      </c>
      <c r="AU17" s="439">
        <v>3043</v>
      </c>
      <c r="AV17" s="439">
        <v>2859</v>
      </c>
      <c r="AW17" s="726">
        <v>3113</v>
      </c>
      <c r="AX17" s="439"/>
      <c r="AY17" s="440"/>
      <c r="AZ17" s="439"/>
      <c r="BA17" s="439"/>
      <c r="BB17" s="439"/>
      <c r="BC17" s="439"/>
      <c r="BD17" s="440"/>
      <c r="BE17" s="440"/>
      <c r="BF17" s="440"/>
      <c r="BG17" s="440"/>
      <c r="BH17" s="361"/>
    </row>
    <row r="18" spans="1:60" s="356" customFormat="1" ht="15" x14ac:dyDescent="0.25">
      <c r="A18" s="778" t="s">
        <v>529</v>
      </c>
      <c r="B18" s="450"/>
      <c r="C18" s="440"/>
      <c r="D18" s="440"/>
      <c r="E18" s="440"/>
      <c r="F18" s="440"/>
      <c r="G18" s="439"/>
      <c r="H18" s="439"/>
      <c r="I18" s="439"/>
      <c r="J18" s="439"/>
      <c r="K18" s="440"/>
      <c r="L18" s="439"/>
      <c r="M18" s="439"/>
      <c r="N18" s="439"/>
      <c r="O18" s="439"/>
      <c r="P18" s="440"/>
      <c r="Q18" s="439"/>
      <c r="R18" s="439"/>
      <c r="S18" s="439"/>
      <c r="T18" s="439"/>
      <c r="U18" s="440"/>
      <c r="V18" s="439"/>
      <c r="W18" s="439"/>
      <c r="X18" s="439"/>
      <c r="Y18" s="439">
        <f>Z18-SUM(V18,W18,X18)</f>
        <v>305.18400000000003</v>
      </c>
      <c r="Z18" s="440">
        <v>305.18400000000003</v>
      </c>
      <c r="AA18" s="439"/>
      <c r="AB18" s="439"/>
      <c r="AC18" s="439">
        <v>67.037000000000006</v>
      </c>
      <c r="AD18" s="439">
        <f>AE18-SUM(AA18,AB18,AC18)</f>
        <v>263.30600000000004</v>
      </c>
      <c r="AE18" s="440">
        <v>330.34300000000002</v>
      </c>
      <c r="AF18" s="439">
        <v>146.52699999999999</v>
      </c>
      <c r="AG18" s="439">
        <v>206.55</v>
      </c>
      <c r="AH18" s="439">
        <v>273.75</v>
      </c>
      <c r="AI18" s="439">
        <f>AJ18-SUM(AF18,AG18,AH18)</f>
        <v>338.76900000000001</v>
      </c>
      <c r="AJ18" s="440">
        <v>965.596</v>
      </c>
      <c r="AK18" s="439">
        <v>113.351</v>
      </c>
      <c r="AL18" s="439">
        <v>248.102</v>
      </c>
      <c r="AM18" s="439">
        <v>427</v>
      </c>
      <c r="AN18" s="439">
        <f>AO18-SUM(AK18,AL18,AM18)</f>
        <v>801.54700000000003</v>
      </c>
      <c r="AO18" s="440">
        <v>1590</v>
      </c>
      <c r="AP18" s="439"/>
      <c r="AQ18" s="439"/>
      <c r="AR18" s="439"/>
      <c r="AS18" s="439"/>
      <c r="AT18" s="440"/>
      <c r="AU18" s="439"/>
      <c r="AV18" s="439"/>
      <c r="AW18" s="726"/>
      <c r="AX18" s="439"/>
      <c r="AY18" s="440"/>
      <c r="AZ18" s="439"/>
      <c r="BA18" s="439"/>
      <c r="BB18" s="439"/>
      <c r="BC18" s="439"/>
      <c r="BD18" s="440"/>
      <c r="BE18" s="440"/>
      <c r="BF18" s="440"/>
      <c r="BG18" s="440"/>
      <c r="BH18" s="361"/>
    </row>
    <row r="19" spans="1:60" s="356" customFormat="1" ht="15" x14ac:dyDescent="0.25">
      <c r="A19" s="778" t="s">
        <v>530</v>
      </c>
      <c r="B19" s="450"/>
      <c r="C19" s="440"/>
      <c r="D19" s="440"/>
      <c r="E19" s="440"/>
      <c r="F19" s="440"/>
      <c r="G19" s="439"/>
      <c r="H19" s="439"/>
      <c r="I19" s="439"/>
      <c r="J19" s="439"/>
      <c r="K19" s="440">
        <v>217.07</v>
      </c>
      <c r="L19" s="439"/>
      <c r="M19" s="439"/>
      <c r="N19" s="439"/>
      <c r="O19" s="439"/>
      <c r="P19" s="440">
        <v>412.19799999999998</v>
      </c>
      <c r="Q19" s="439"/>
      <c r="R19" s="439"/>
      <c r="S19" s="439"/>
      <c r="T19" s="439"/>
      <c r="U19" s="440">
        <v>356.41899999999998</v>
      </c>
      <c r="V19" s="439">
        <v>58.436999999999998</v>
      </c>
      <c r="W19" s="439">
        <v>42.372</v>
      </c>
      <c r="X19" s="439">
        <v>135.19999999999999</v>
      </c>
      <c r="Y19" s="439">
        <f>Z19-SUM(V19,W19,X19)</f>
        <v>99.563000000000017</v>
      </c>
      <c r="Z19" s="440">
        <v>335.572</v>
      </c>
      <c r="AA19" s="439">
        <v>135.40199999999999</v>
      </c>
      <c r="AB19" s="439">
        <v>122.102</v>
      </c>
      <c r="AC19" s="439">
        <v>225.46100000000001</v>
      </c>
      <c r="AD19" s="439">
        <f>AE19-SUM(AA19,AB19,AC19)</f>
        <v>340.11599999999999</v>
      </c>
      <c r="AE19" s="440">
        <v>823.08100000000002</v>
      </c>
      <c r="AF19" s="439">
        <v>162.31899999999999</v>
      </c>
      <c r="AG19" s="439">
        <v>224.42099999999999</v>
      </c>
      <c r="AH19" s="439">
        <v>224.48099999999999</v>
      </c>
      <c r="AI19" s="439">
        <f>AJ19-SUM(AF19,AG19,AH19)</f>
        <v>201.50900000000001</v>
      </c>
      <c r="AJ19" s="440">
        <v>812.73</v>
      </c>
      <c r="AK19" s="439">
        <v>416.06</v>
      </c>
      <c r="AL19" s="439">
        <v>380.37299999999999</v>
      </c>
      <c r="AM19" s="439">
        <v>253</v>
      </c>
      <c r="AN19" s="439">
        <f>AO19-SUM(AK19,AL19,AM19)</f>
        <v>151.56700000000001</v>
      </c>
      <c r="AO19" s="440">
        <v>1201</v>
      </c>
      <c r="AP19" s="439"/>
      <c r="AQ19" s="439"/>
      <c r="AR19" s="439"/>
      <c r="AS19" s="439"/>
      <c r="AT19" s="440"/>
      <c r="AU19" s="439"/>
      <c r="AV19" s="439"/>
      <c r="AW19" s="726"/>
      <c r="AX19" s="439"/>
      <c r="AY19" s="440"/>
      <c r="AZ19" s="439"/>
      <c r="BA19" s="439"/>
      <c r="BB19" s="439"/>
      <c r="BC19" s="439"/>
      <c r="BD19" s="440"/>
      <c r="BE19" s="440"/>
      <c r="BF19" s="440"/>
      <c r="BG19" s="440"/>
      <c r="BH19" s="361"/>
    </row>
    <row r="20" spans="1:60" s="356" customFormat="1" ht="15" x14ac:dyDescent="0.25">
      <c r="A20" s="778" t="s">
        <v>531</v>
      </c>
      <c r="B20" s="450"/>
      <c r="C20" s="440"/>
      <c r="D20" s="440"/>
      <c r="E20" s="440"/>
      <c r="F20" s="440"/>
      <c r="G20" s="439"/>
      <c r="H20" s="439"/>
      <c r="I20" s="439"/>
      <c r="J20" s="439"/>
      <c r="K20" s="440">
        <v>317.26</v>
      </c>
      <c r="L20" s="439"/>
      <c r="M20" s="439"/>
      <c r="N20" s="439"/>
      <c r="O20" s="439"/>
      <c r="P20" s="440">
        <v>837.43299999999999</v>
      </c>
      <c r="Q20" s="439"/>
      <c r="R20" s="439"/>
      <c r="S20" s="439"/>
      <c r="T20" s="439"/>
      <c r="U20" s="440">
        <v>1413.6959999999999</v>
      </c>
      <c r="V20" s="439">
        <v>340.84399999999999</v>
      </c>
      <c r="W20" s="439">
        <v>264.03199999999998</v>
      </c>
      <c r="X20" s="439">
        <v>415.839</v>
      </c>
      <c r="Y20" s="439">
        <f>Z20-SUM(V20,W20,X20)</f>
        <v>72.700000000000045</v>
      </c>
      <c r="Z20" s="440">
        <v>1093.415</v>
      </c>
      <c r="AA20" s="439">
        <v>781.72699999999998</v>
      </c>
      <c r="AB20" s="439">
        <v>680.82600000000002</v>
      </c>
      <c r="AC20" s="439">
        <v>546.47299999999996</v>
      </c>
      <c r="AD20" s="439">
        <f>AE20-SUM(AA20,AB20,AC20)</f>
        <v>347.80000000000018</v>
      </c>
      <c r="AE20" s="440">
        <v>2356.826</v>
      </c>
      <c r="AF20" s="439">
        <v>746.755</v>
      </c>
      <c r="AG20" s="439">
        <v>797.39300000000003</v>
      </c>
      <c r="AH20" s="439">
        <v>783.93399999999997</v>
      </c>
      <c r="AI20" s="439">
        <f>AJ20-SUM(AF20,AG20,AH20)</f>
        <v>726.20599999999968</v>
      </c>
      <c r="AJ20" s="440">
        <v>3054.288</v>
      </c>
      <c r="AK20" s="439">
        <v>903.07100000000003</v>
      </c>
      <c r="AL20" s="439">
        <v>1551.4659999999999</v>
      </c>
      <c r="AM20" s="439">
        <v>1827</v>
      </c>
      <c r="AN20" s="439">
        <f>AO20-SUM(AK20,AL20,AM20)</f>
        <v>1873.4629999999997</v>
      </c>
      <c r="AO20" s="440">
        <v>6155</v>
      </c>
      <c r="AP20" s="439"/>
      <c r="AQ20" s="439"/>
      <c r="AR20" s="439"/>
      <c r="AS20" s="439"/>
      <c r="AT20" s="440"/>
      <c r="AU20" s="439"/>
      <c r="AV20" s="439"/>
      <c r="AW20" s="726"/>
      <c r="AX20" s="439"/>
      <c r="AY20" s="440"/>
      <c r="AZ20" s="439"/>
      <c r="BA20" s="439"/>
      <c r="BB20" s="439"/>
      <c r="BC20" s="439"/>
      <c r="BD20" s="440"/>
      <c r="BE20" s="440"/>
      <c r="BF20" s="440"/>
      <c r="BG20" s="440"/>
      <c r="BH20" s="361"/>
    </row>
    <row r="21" spans="1:60" s="356" customFormat="1" ht="15" x14ac:dyDescent="0.25">
      <c r="A21" s="831" t="s">
        <v>516</v>
      </c>
      <c r="B21" s="661"/>
      <c r="C21" s="551"/>
      <c r="D21" s="551"/>
      <c r="E21" s="551"/>
      <c r="F21" s="551"/>
      <c r="G21" s="629"/>
      <c r="H21" s="629"/>
      <c r="I21" s="629"/>
      <c r="J21" s="629"/>
      <c r="K21" s="551">
        <f>K18+K19+K20</f>
        <v>534.32999999999993</v>
      </c>
      <c r="L21" s="629"/>
      <c r="M21" s="629"/>
      <c r="N21" s="629"/>
      <c r="O21" s="629"/>
      <c r="P21" s="551">
        <f>P18+P19+P20</f>
        <v>1249.6309999999999</v>
      </c>
      <c r="Q21" s="629"/>
      <c r="R21" s="629"/>
      <c r="S21" s="629"/>
      <c r="T21" s="629"/>
      <c r="U21" s="551">
        <f>U18+U19+U20</f>
        <v>1770.1149999999998</v>
      </c>
      <c r="V21" s="629">
        <f>V18+V19+V20</f>
        <v>399.28100000000001</v>
      </c>
      <c r="W21" s="629">
        <f>W18+W19+W20</f>
        <v>306.404</v>
      </c>
      <c r="X21" s="629">
        <f>X18+X19+X20</f>
        <v>551.03899999999999</v>
      </c>
      <c r="Y21" s="629">
        <f>Y18+Y19+Y20</f>
        <v>477.44700000000012</v>
      </c>
      <c r="Z21" s="551">
        <f>SUM(Z18:Z20)</f>
        <v>1734.171</v>
      </c>
      <c r="AA21" s="629">
        <f>AA18+AA19+AA20</f>
        <v>917.12899999999991</v>
      </c>
      <c r="AB21" s="629">
        <f>AB18+AB19+AB20</f>
        <v>802.928</v>
      </c>
      <c r="AC21" s="629">
        <f t="shared" ref="AC21:AO21" si="6">SUM(AC18:AC20)</f>
        <v>838.971</v>
      </c>
      <c r="AD21" s="629">
        <f t="shared" si="6"/>
        <v>951.22200000000021</v>
      </c>
      <c r="AE21" s="551">
        <f t="shared" si="6"/>
        <v>3510.25</v>
      </c>
      <c r="AF21" s="629">
        <f t="shared" si="6"/>
        <v>1055.6010000000001</v>
      </c>
      <c r="AG21" s="629">
        <f t="shared" si="6"/>
        <v>1228.364</v>
      </c>
      <c r="AH21" s="629">
        <f t="shared" si="6"/>
        <v>1282.165</v>
      </c>
      <c r="AI21" s="629">
        <f t="shared" si="6"/>
        <v>1266.4839999999997</v>
      </c>
      <c r="AJ21" s="551">
        <f t="shared" si="6"/>
        <v>4832.6139999999996</v>
      </c>
      <c r="AK21" s="629">
        <f t="shared" si="6"/>
        <v>1432.482</v>
      </c>
      <c r="AL21" s="629">
        <f t="shared" si="6"/>
        <v>2179.9409999999998</v>
      </c>
      <c r="AM21" s="629">
        <f t="shared" si="6"/>
        <v>2507</v>
      </c>
      <c r="AN21" s="629">
        <f t="shared" si="6"/>
        <v>2826.5769999999998</v>
      </c>
      <c r="AO21" s="551">
        <f t="shared" si="6"/>
        <v>8946</v>
      </c>
      <c r="AP21" s="629">
        <v>2317</v>
      </c>
      <c r="AQ21" s="629">
        <v>1546</v>
      </c>
      <c r="AR21" s="629">
        <v>2812</v>
      </c>
      <c r="AS21" s="629">
        <f>AT21-SUM(AP21,AQ21,AR21)</f>
        <v>2992</v>
      </c>
      <c r="AT21" s="551">
        <v>9667</v>
      </c>
      <c r="AU21" s="629">
        <v>2922</v>
      </c>
      <c r="AV21" s="629">
        <v>3894</v>
      </c>
      <c r="AW21" s="737">
        <v>4230</v>
      </c>
      <c r="AX21" s="629"/>
      <c r="AY21" s="551"/>
      <c r="AZ21" s="629"/>
      <c r="BA21" s="629"/>
      <c r="BB21" s="629"/>
      <c r="BC21" s="629"/>
      <c r="BD21" s="551"/>
      <c r="BE21" s="551"/>
      <c r="BF21" s="551"/>
      <c r="BG21" s="551"/>
      <c r="BH21" s="361"/>
    </row>
    <row r="22" spans="1:60" s="116" customFormat="1" ht="15" x14ac:dyDescent="0.25">
      <c r="A22" s="832" t="s">
        <v>17</v>
      </c>
      <c r="B22" s="529"/>
      <c r="C22" s="45"/>
      <c r="D22" s="45"/>
      <c r="E22" s="45"/>
      <c r="F22" s="45"/>
      <c r="G22" s="44"/>
      <c r="H22" s="44"/>
      <c r="I22" s="44"/>
      <c r="J22" s="44"/>
      <c r="K22" s="45">
        <f>K16+K17+K21</f>
        <v>2013.4959999999999</v>
      </c>
      <c r="L22" s="44"/>
      <c r="M22" s="44"/>
      <c r="N22" s="44"/>
      <c r="O22" s="44"/>
      <c r="P22" s="45">
        <f>P16+P17+P21</f>
        <v>3198.3559999999998</v>
      </c>
      <c r="Q22" s="44"/>
      <c r="R22" s="44"/>
      <c r="S22" s="44"/>
      <c r="T22" s="44"/>
      <c r="U22" s="45">
        <f t="shared" ref="U22:AW22" si="7">U16+U17+U21</f>
        <v>4046.0249999999996</v>
      </c>
      <c r="V22" s="44">
        <f t="shared" si="7"/>
        <v>1147.048</v>
      </c>
      <c r="W22" s="44">
        <f t="shared" si="7"/>
        <v>1270.0169999999998</v>
      </c>
      <c r="X22" s="44">
        <f t="shared" si="7"/>
        <v>2298.4359999999997</v>
      </c>
      <c r="Y22" s="44">
        <f t="shared" si="7"/>
        <v>2284.6310000000003</v>
      </c>
      <c r="Z22" s="45">
        <f t="shared" si="7"/>
        <v>7000.1320000000005</v>
      </c>
      <c r="AA22" s="44">
        <f t="shared" si="7"/>
        <v>2696.27</v>
      </c>
      <c r="AB22" s="44">
        <f t="shared" si="7"/>
        <v>2789.5569999999998</v>
      </c>
      <c r="AC22" s="44">
        <f t="shared" si="7"/>
        <v>2984.6750000000002</v>
      </c>
      <c r="AD22" s="44">
        <f t="shared" si="7"/>
        <v>3288.2490000000003</v>
      </c>
      <c r="AE22" s="45">
        <f t="shared" si="7"/>
        <v>11758.751</v>
      </c>
      <c r="AF22" s="44">
        <f t="shared" si="7"/>
        <v>3408.7509999999997</v>
      </c>
      <c r="AG22" s="44">
        <f t="shared" si="7"/>
        <v>4002.2310000000002</v>
      </c>
      <c r="AH22" s="44">
        <f t="shared" si="7"/>
        <v>6824.4130000000005</v>
      </c>
      <c r="AI22" s="44">
        <f t="shared" si="7"/>
        <v>7225.8729999999996</v>
      </c>
      <c r="AJ22" s="45">
        <f t="shared" si="7"/>
        <v>21461.267999999996</v>
      </c>
      <c r="AK22" s="44">
        <f t="shared" si="7"/>
        <v>4541.4639999999999</v>
      </c>
      <c r="AL22" s="44">
        <f t="shared" si="7"/>
        <v>6349.6759999999995</v>
      </c>
      <c r="AM22" s="44">
        <f t="shared" si="7"/>
        <v>6303</v>
      </c>
      <c r="AN22" s="44">
        <f t="shared" si="7"/>
        <v>7383.8600000000006</v>
      </c>
      <c r="AO22" s="45">
        <f t="shared" si="7"/>
        <v>24578</v>
      </c>
      <c r="AP22" s="44">
        <f t="shared" si="7"/>
        <v>5985</v>
      </c>
      <c r="AQ22" s="44">
        <f t="shared" si="7"/>
        <v>6036</v>
      </c>
      <c r="AR22" s="44">
        <f t="shared" si="7"/>
        <v>8771</v>
      </c>
      <c r="AS22" s="44">
        <f t="shared" si="7"/>
        <v>10744</v>
      </c>
      <c r="AT22" s="45">
        <f t="shared" si="7"/>
        <v>31536</v>
      </c>
      <c r="AU22" s="44">
        <f t="shared" si="7"/>
        <v>10389</v>
      </c>
      <c r="AV22" s="44">
        <f t="shared" si="7"/>
        <v>11958</v>
      </c>
      <c r="AW22" s="729">
        <f t="shared" si="7"/>
        <v>13757</v>
      </c>
      <c r="AX22" s="44"/>
      <c r="AY22" s="45"/>
      <c r="AZ22" s="44"/>
      <c r="BA22" s="44"/>
      <c r="BB22" s="44"/>
      <c r="BC22" s="44"/>
      <c r="BD22" s="45"/>
      <c r="BE22" s="45"/>
      <c r="BF22" s="45"/>
      <c r="BG22" s="45"/>
      <c r="BH22" s="368"/>
    </row>
    <row r="23" spans="1:60" s="120" customFormat="1" ht="15" x14ac:dyDescent="0.25">
      <c r="A23" s="216" t="s">
        <v>695</v>
      </c>
      <c r="B23" s="215"/>
      <c r="C23" s="100"/>
      <c r="D23" s="100"/>
      <c r="E23" s="100"/>
      <c r="F23" s="100"/>
      <c r="G23" s="1005"/>
      <c r="H23" s="1005"/>
      <c r="I23" s="1005"/>
      <c r="J23" s="1005"/>
      <c r="K23" s="100">
        <f t="shared" ref="K23:K28" si="8">K16/K$22</f>
        <v>0.73462574546957138</v>
      </c>
      <c r="L23" s="1005"/>
      <c r="M23" s="1005"/>
      <c r="N23" s="1005"/>
      <c r="O23" s="1005"/>
      <c r="P23" s="100">
        <f t="shared" ref="P23:P28" si="9">P16/P$22</f>
        <v>0.46012482662968102</v>
      </c>
      <c r="Q23" s="1005"/>
      <c r="R23" s="1005"/>
      <c r="S23" s="1005"/>
      <c r="T23" s="1005"/>
      <c r="U23" s="100">
        <f t="shared" ref="U23:AW23" si="10">U16/U$22</f>
        <v>0.48378272502023595</v>
      </c>
      <c r="V23" s="1005">
        <f t="shared" si="10"/>
        <v>0.5477442966641326</v>
      </c>
      <c r="W23" s="1005">
        <f t="shared" si="10"/>
        <v>0.65406604793479151</v>
      </c>
      <c r="X23" s="1005">
        <f t="shared" si="10"/>
        <v>0.6232307534340743</v>
      </c>
      <c r="Y23" s="1005">
        <f t="shared" si="10"/>
        <v>0.57308423110778062</v>
      </c>
      <c r="Z23" s="100">
        <f t="shared" si="10"/>
        <v>0.60008954116865221</v>
      </c>
      <c r="AA23" s="1005">
        <f t="shared" si="10"/>
        <v>0.47295263456552944</v>
      </c>
      <c r="AB23" s="1005">
        <f t="shared" si="10"/>
        <v>0.54597988139335385</v>
      </c>
      <c r="AC23" s="1005">
        <f t="shared" si="10"/>
        <v>0.53008887064755794</v>
      </c>
      <c r="AD23" s="1005">
        <f t="shared" si="10"/>
        <v>0.55988643195816379</v>
      </c>
      <c r="AE23" s="100">
        <f t="shared" si="10"/>
        <v>0.52909012190155236</v>
      </c>
      <c r="AF23" s="1005">
        <f t="shared" si="10"/>
        <v>0.54109173712013581</v>
      </c>
      <c r="AG23" s="1005">
        <f t="shared" si="10"/>
        <v>0.56134615917971753</v>
      </c>
      <c r="AH23" s="1005">
        <f t="shared" si="10"/>
        <v>0.7521449830190523</v>
      </c>
      <c r="AI23" s="1005">
        <f t="shared" si="10"/>
        <v>0.78156300283716595</v>
      </c>
      <c r="AJ23" s="100">
        <f t="shared" si="10"/>
        <v>0.69294633476456291</v>
      </c>
      <c r="AK23" s="1005">
        <f t="shared" si="10"/>
        <v>0.51295551390476724</v>
      </c>
      <c r="AL23" s="1005">
        <f t="shared" si="10"/>
        <v>0.54805946004174078</v>
      </c>
      <c r="AM23" s="1005">
        <f t="shared" si="10"/>
        <v>0.49611296208154848</v>
      </c>
      <c r="AN23" s="1005">
        <f t="shared" si="10"/>
        <v>0.503318183172487</v>
      </c>
      <c r="AO23" s="100">
        <f t="shared" si="10"/>
        <v>0.51480999267637728</v>
      </c>
      <c r="AP23" s="1005">
        <f t="shared" si="10"/>
        <v>0.46248955722639934</v>
      </c>
      <c r="AQ23" s="1005">
        <f t="shared" si="10"/>
        <v>0.51192842942345929</v>
      </c>
      <c r="AR23" s="1005">
        <f t="shared" si="10"/>
        <v>0.48056093945958273</v>
      </c>
      <c r="AS23" s="1005">
        <f t="shared" si="10"/>
        <v>0.47784810126582278</v>
      </c>
      <c r="AT23" s="100">
        <f t="shared" si="10"/>
        <v>0.48221080669710809</v>
      </c>
      <c r="AU23" s="1005">
        <f t="shared" si="10"/>
        <v>0.42583501780729616</v>
      </c>
      <c r="AV23" s="1005">
        <f t="shared" si="10"/>
        <v>0.43527345709984949</v>
      </c>
      <c r="AW23" s="727">
        <f t="shared" si="10"/>
        <v>0.46623537108381186</v>
      </c>
      <c r="AX23" s="1005"/>
      <c r="AY23" s="100"/>
      <c r="AZ23" s="1005"/>
      <c r="BA23" s="1005"/>
      <c r="BB23" s="1005"/>
      <c r="BC23" s="1005"/>
      <c r="BD23" s="100"/>
      <c r="BE23" s="100"/>
      <c r="BF23" s="100"/>
      <c r="BG23" s="100"/>
      <c r="BH23" s="366"/>
    </row>
    <row r="24" spans="1:60" s="120" customFormat="1" ht="15" x14ac:dyDescent="0.25">
      <c r="A24" s="216" t="s">
        <v>696</v>
      </c>
      <c r="B24" s="215"/>
      <c r="C24" s="100"/>
      <c r="D24" s="100"/>
      <c r="E24" s="100"/>
      <c r="F24" s="100"/>
      <c r="G24" s="1005"/>
      <c r="H24" s="1005"/>
      <c r="I24" s="1005"/>
      <c r="J24" s="1005"/>
      <c r="K24" s="100">
        <f t="shared" si="8"/>
        <v>0</v>
      </c>
      <c r="L24" s="1005"/>
      <c r="M24" s="1005"/>
      <c r="N24" s="1005"/>
      <c r="O24" s="1005"/>
      <c r="P24" s="100">
        <f t="shared" si="9"/>
        <v>0.14916475839462526</v>
      </c>
      <c r="Q24" s="1005"/>
      <c r="R24" s="1005"/>
      <c r="S24" s="1005"/>
      <c r="T24" s="1005"/>
      <c r="U24" s="100">
        <f t="shared" ref="U24:AW24" si="11">U17/U$22</f>
        <v>7.8722449811852377E-2</v>
      </c>
      <c r="V24" s="1005">
        <f t="shared" si="11"/>
        <v>0.10416129054756208</v>
      </c>
      <c r="W24" s="1005">
        <f t="shared" si="11"/>
        <v>0.10467418940061433</v>
      </c>
      <c r="X24" s="1005">
        <f t="shared" si="11"/>
        <v>0.13702404591644057</v>
      </c>
      <c r="Y24" s="1005">
        <f t="shared" si="11"/>
        <v>0.21793366193490329</v>
      </c>
      <c r="Z24" s="100">
        <f t="shared" si="11"/>
        <v>0.1521764161018678</v>
      </c>
      <c r="AA24" s="1005">
        <f t="shared" si="11"/>
        <v>0.18690005081093511</v>
      </c>
      <c r="AB24" s="1005">
        <f t="shared" si="11"/>
        <v>0.16618660238883809</v>
      </c>
      <c r="AC24" s="1005">
        <f t="shared" si="11"/>
        <v>0.18881821303827051</v>
      </c>
      <c r="AD24" s="1005">
        <f t="shared" si="11"/>
        <v>0.15083438024310195</v>
      </c>
      <c r="AE24" s="100">
        <f t="shared" si="11"/>
        <v>0.17238752653236725</v>
      </c>
      <c r="AF24" s="1005">
        <f t="shared" si="11"/>
        <v>0.14923442633386833</v>
      </c>
      <c r="AG24" s="1005">
        <f t="shared" si="11"/>
        <v>0.1317340253473625</v>
      </c>
      <c r="AH24" s="1005">
        <f t="shared" si="11"/>
        <v>5.9975854333552202E-2</v>
      </c>
      <c r="AI24" s="1005">
        <f t="shared" si="11"/>
        <v>4.3166272089199466E-2</v>
      </c>
      <c r="AJ24" s="100">
        <f t="shared" si="11"/>
        <v>8.1875264779322457E-2</v>
      </c>
      <c r="AK24" s="1005">
        <f t="shared" si="11"/>
        <v>0.17162152997359442</v>
      </c>
      <c r="AL24" s="1005">
        <f t="shared" si="11"/>
        <v>0.10862522749192244</v>
      </c>
      <c r="AM24" s="1005">
        <f t="shared" si="11"/>
        <v>0.10613993336506425</v>
      </c>
      <c r="AN24" s="1005">
        <f t="shared" si="11"/>
        <v>0.11387702367054627</v>
      </c>
      <c r="AO24" s="100">
        <f t="shared" si="11"/>
        <v>0.121205956546505</v>
      </c>
      <c r="AP24" s="1005">
        <f t="shared" si="11"/>
        <v>0.15037593984962405</v>
      </c>
      <c r="AQ24" s="1005">
        <f t="shared" si="11"/>
        <v>0.23194168323392975</v>
      </c>
      <c r="AR24" s="1005">
        <f t="shared" si="11"/>
        <v>0.1988370767301334</v>
      </c>
      <c r="AS24" s="1005">
        <f t="shared" si="11"/>
        <v>0.24367088607594936</v>
      </c>
      <c r="AT24" s="100">
        <f t="shared" si="11"/>
        <v>0.21125063419583967</v>
      </c>
      <c r="AU24" s="1005">
        <f t="shared" si="11"/>
        <v>0.29290595822504573</v>
      </c>
      <c r="AV24" s="1005">
        <f t="shared" si="11"/>
        <v>0.23908680381334671</v>
      </c>
      <c r="AW24" s="727">
        <f t="shared" si="11"/>
        <v>0.22628480046521771</v>
      </c>
      <c r="AX24" s="1005"/>
      <c r="AY24" s="100"/>
      <c r="AZ24" s="1005"/>
      <c r="BA24" s="1005"/>
      <c r="BB24" s="1005"/>
      <c r="BC24" s="1005"/>
      <c r="BD24" s="100"/>
      <c r="BE24" s="100"/>
      <c r="BF24" s="100"/>
      <c r="BG24" s="100"/>
      <c r="BH24" s="366"/>
    </row>
    <row r="25" spans="1:60" s="120" customFormat="1" ht="15" x14ac:dyDescent="0.25">
      <c r="A25" s="894" t="s">
        <v>697</v>
      </c>
      <c r="B25" s="215"/>
      <c r="C25" s="100"/>
      <c r="D25" s="100"/>
      <c r="E25" s="100"/>
      <c r="F25" s="100"/>
      <c r="G25" s="1005"/>
      <c r="H25" s="1005"/>
      <c r="I25" s="1005"/>
      <c r="J25" s="1005"/>
      <c r="K25" s="100">
        <f t="shared" si="8"/>
        <v>0</v>
      </c>
      <c r="L25" s="1005"/>
      <c r="M25" s="1005"/>
      <c r="N25" s="1005"/>
      <c r="O25" s="1005"/>
      <c r="P25" s="100">
        <f t="shared" si="9"/>
        <v>0</v>
      </c>
      <c r="Q25" s="1005"/>
      <c r="R25" s="1005"/>
      <c r="S25" s="1005"/>
      <c r="T25" s="1005"/>
      <c r="U25" s="100"/>
      <c r="V25" s="1005"/>
      <c r="W25" s="1005"/>
      <c r="X25" s="1005"/>
      <c r="Y25" s="1005">
        <f t="shared" ref="Y25:Z28" si="12">Y18/Y$22</f>
        <v>0.13358130919172503</v>
      </c>
      <c r="Z25" s="100">
        <f t="shared" si="12"/>
        <v>4.3596892172890457E-2</v>
      </c>
      <c r="AA25" s="1005"/>
      <c r="AB25" s="1005"/>
      <c r="AC25" s="1005">
        <f t="shared" ref="AC25:AO25" si="13">AC18/AC$22</f>
        <v>2.2460401886302529E-2</v>
      </c>
      <c r="AD25" s="1005">
        <f t="shared" si="13"/>
        <v>8.0074836181809841E-2</v>
      </c>
      <c r="AE25" s="100">
        <f t="shared" si="13"/>
        <v>2.8093374883097703E-2</v>
      </c>
      <c r="AF25" s="1005">
        <f t="shared" si="13"/>
        <v>4.2985539278169629E-2</v>
      </c>
      <c r="AG25" s="1005">
        <f t="shared" si="13"/>
        <v>5.1608715239075405E-2</v>
      </c>
      <c r="AH25" s="1005">
        <f t="shared" si="13"/>
        <v>4.011334015101372E-2</v>
      </c>
      <c r="AI25" s="1005">
        <f t="shared" si="13"/>
        <v>4.6882778039414756E-2</v>
      </c>
      <c r="AJ25" s="100">
        <f t="shared" si="13"/>
        <v>4.499249531761125E-2</v>
      </c>
      <c r="AK25" s="1005">
        <f t="shared" si="13"/>
        <v>2.4959132121271908E-2</v>
      </c>
      <c r="AL25" s="1005">
        <f t="shared" si="13"/>
        <v>3.9073174757263206E-2</v>
      </c>
      <c r="AM25" s="1005">
        <f t="shared" si="13"/>
        <v>6.7745518007298111E-2</v>
      </c>
      <c r="AN25" s="1005">
        <f t="shared" si="13"/>
        <v>0.10855392707879076</v>
      </c>
      <c r="AO25" s="100">
        <f t="shared" si="13"/>
        <v>6.4692000976483033E-2</v>
      </c>
      <c r="AP25" s="1005"/>
      <c r="AQ25" s="1005"/>
      <c r="AR25" s="1005"/>
      <c r="AS25" s="1005"/>
      <c r="AT25" s="100"/>
      <c r="AU25" s="1005"/>
      <c r="AV25" s="1005"/>
      <c r="AW25" s="727"/>
      <c r="AX25" s="1005"/>
      <c r="AY25" s="100"/>
      <c r="AZ25" s="1005"/>
      <c r="BA25" s="1005"/>
      <c r="BB25" s="1005"/>
      <c r="BC25" s="1005"/>
      <c r="BD25" s="100"/>
      <c r="BE25" s="100"/>
      <c r="BF25" s="100"/>
      <c r="BG25" s="100"/>
      <c r="BH25" s="366"/>
    </row>
    <row r="26" spans="1:60" s="120" customFormat="1" ht="15" x14ac:dyDescent="0.25">
      <c r="A26" s="894" t="s">
        <v>698</v>
      </c>
      <c r="B26" s="215"/>
      <c r="C26" s="100"/>
      <c r="D26" s="100"/>
      <c r="E26" s="100"/>
      <c r="F26" s="100"/>
      <c r="G26" s="1005"/>
      <c r="H26" s="1005"/>
      <c r="I26" s="1005"/>
      <c r="J26" s="1005"/>
      <c r="K26" s="100">
        <f t="shared" si="8"/>
        <v>0.10780751488952549</v>
      </c>
      <c r="L26" s="1005"/>
      <c r="M26" s="1005"/>
      <c r="N26" s="1005"/>
      <c r="O26" s="1005"/>
      <c r="P26" s="100">
        <f t="shared" si="9"/>
        <v>0.12887808611674248</v>
      </c>
      <c r="Q26" s="1005"/>
      <c r="R26" s="1005"/>
      <c r="S26" s="1005"/>
      <c r="T26" s="1005"/>
      <c r="U26" s="100">
        <f t="shared" ref="U26:X28" si="14">U19/U$22</f>
        <v>8.8091151191601644E-2</v>
      </c>
      <c r="V26" s="1005">
        <f t="shared" si="14"/>
        <v>5.0945557640133629E-2</v>
      </c>
      <c r="W26" s="1005">
        <f t="shared" si="14"/>
        <v>3.3363332931763912E-2</v>
      </c>
      <c r="X26" s="1005">
        <f t="shared" si="14"/>
        <v>5.8822608069139193E-2</v>
      </c>
      <c r="Y26" s="1005">
        <f t="shared" si="12"/>
        <v>4.3579466443377513E-2</v>
      </c>
      <c r="Z26" s="100">
        <f t="shared" si="12"/>
        <v>4.7937953170025936E-2</v>
      </c>
      <c r="AA26" s="1005">
        <f t="shared" ref="AA26:AB28" si="15">AA19/AA$22</f>
        <v>5.0218264491315778E-2</v>
      </c>
      <c r="AB26" s="1005">
        <f t="shared" si="15"/>
        <v>4.3771107742197064E-2</v>
      </c>
      <c r="AC26" s="1005">
        <f t="shared" ref="AC26:AO26" si="16">AC19/AC$22</f>
        <v>7.5539547856969355E-2</v>
      </c>
      <c r="AD26" s="1005">
        <f t="shared" si="16"/>
        <v>0.10343377280735126</v>
      </c>
      <c r="AE26" s="100">
        <f t="shared" si="16"/>
        <v>6.9997315191043671E-2</v>
      </c>
      <c r="AF26" s="1005">
        <f t="shared" si="16"/>
        <v>4.7618321197412189E-2</v>
      </c>
      <c r="AG26" s="1005">
        <f t="shared" si="16"/>
        <v>5.607397474058843E-2</v>
      </c>
      <c r="AH26" s="1005">
        <f t="shared" si="16"/>
        <v>3.2893818120327711E-2</v>
      </c>
      <c r="AI26" s="1005">
        <f t="shared" si="16"/>
        <v>2.7887149414333744E-2</v>
      </c>
      <c r="AJ26" s="100">
        <f t="shared" si="16"/>
        <v>3.786961702356078E-2</v>
      </c>
      <c r="AK26" s="1005">
        <f t="shared" si="16"/>
        <v>9.1613629437555827E-2</v>
      </c>
      <c r="AL26" s="1005">
        <f t="shared" si="16"/>
        <v>5.9904316377717544E-2</v>
      </c>
      <c r="AM26" s="1005">
        <f t="shared" si="16"/>
        <v>4.0139616055846421E-2</v>
      </c>
      <c r="AN26" s="1005">
        <f t="shared" si="16"/>
        <v>2.0526797637008286E-2</v>
      </c>
      <c r="AO26" s="100">
        <f t="shared" si="16"/>
        <v>4.8864838473431524E-2</v>
      </c>
      <c r="AP26" s="1005"/>
      <c r="AQ26" s="1005"/>
      <c r="AR26" s="1005"/>
      <c r="AS26" s="1005"/>
      <c r="AT26" s="100"/>
      <c r="AU26" s="1005"/>
      <c r="AV26" s="1005"/>
      <c r="AW26" s="727"/>
      <c r="AX26" s="1005"/>
      <c r="AY26" s="100"/>
      <c r="AZ26" s="1005"/>
      <c r="BA26" s="1005"/>
      <c r="BB26" s="1005"/>
      <c r="BC26" s="1005"/>
      <c r="BD26" s="100"/>
      <c r="BE26" s="100"/>
      <c r="BF26" s="100"/>
      <c r="BG26" s="100"/>
      <c r="BH26" s="366"/>
    </row>
    <row r="27" spans="1:60" s="120" customFormat="1" ht="15" x14ac:dyDescent="0.25">
      <c r="A27" s="894" t="s">
        <v>699</v>
      </c>
      <c r="B27" s="215"/>
      <c r="C27" s="100"/>
      <c r="D27" s="100"/>
      <c r="E27" s="100"/>
      <c r="F27" s="100"/>
      <c r="G27" s="1005"/>
      <c r="H27" s="1005"/>
      <c r="I27" s="1005"/>
      <c r="J27" s="1005"/>
      <c r="K27" s="100">
        <f t="shared" si="8"/>
        <v>0.1575667396409032</v>
      </c>
      <c r="L27" s="1005"/>
      <c r="M27" s="1005"/>
      <c r="N27" s="1005"/>
      <c r="O27" s="1005"/>
      <c r="P27" s="100">
        <f t="shared" si="9"/>
        <v>0.2618323288589513</v>
      </c>
      <c r="Q27" s="1005"/>
      <c r="R27" s="1005"/>
      <c r="S27" s="1005"/>
      <c r="T27" s="1005"/>
      <c r="U27" s="100">
        <f t="shared" si="14"/>
        <v>0.34940367397631011</v>
      </c>
      <c r="V27" s="1005">
        <f t="shared" si="14"/>
        <v>0.29714885514817163</v>
      </c>
      <c r="W27" s="1005">
        <f t="shared" si="14"/>
        <v>0.20789642973283037</v>
      </c>
      <c r="X27" s="1005">
        <f t="shared" si="14"/>
        <v>0.18092259258034596</v>
      </c>
      <c r="Y27" s="1005">
        <f t="shared" si="12"/>
        <v>3.1821331322213535E-2</v>
      </c>
      <c r="Z27" s="100">
        <f t="shared" si="12"/>
        <v>0.15619919738656354</v>
      </c>
      <c r="AA27" s="1005">
        <f t="shared" si="15"/>
        <v>0.2899290501322197</v>
      </c>
      <c r="AB27" s="1005">
        <f t="shared" si="15"/>
        <v>0.24406240847561103</v>
      </c>
      <c r="AC27" s="1005">
        <f t="shared" ref="AC27:AO27" si="17">AC20/AC$22</f>
        <v>0.18309296657089966</v>
      </c>
      <c r="AD27" s="1005">
        <f t="shared" si="17"/>
        <v>0.10577057880957316</v>
      </c>
      <c r="AE27" s="100">
        <f t="shared" si="17"/>
        <v>0.20043166149193906</v>
      </c>
      <c r="AF27" s="1005">
        <f t="shared" si="17"/>
        <v>0.21906997607041406</v>
      </c>
      <c r="AG27" s="1005">
        <f t="shared" si="17"/>
        <v>0.19923712549325615</v>
      </c>
      <c r="AH27" s="1005">
        <f t="shared" si="17"/>
        <v>0.11487200437605402</v>
      </c>
      <c r="AI27" s="1005">
        <f t="shared" si="17"/>
        <v>0.10050079761988617</v>
      </c>
      <c r="AJ27" s="100">
        <f t="shared" si="17"/>
        <v>0.14231628811494271</v>
      </c>
      <c r="AK27" s="1005">
        <f t="shared" si="17"/>
        <v>0.19885019456281058</v>
      </c>
      <c r="AL27" s="1005">
        <f t="shared" si="17"/>
        <v>0.24433782133135612</v>
      </c>
      <c r="AM27" s="1005">
        <f t="shared" si="17"/>
        <v>0.28986197049024276</v>
      </c>
      <c r="AN27" s="1005">
        <f t="shared" si="17"/>
        <v>0.25372406844116757</v>
      </c>
      <c r="AO27" s="100">
        <f t="shared" si="17"/>
        <v>0.25042721132720319</v>
      </c>
      <c r="AP27" s="1005"/>
      <c r="AQ27" s="1005"/>
      <c r="AR27" s="1005"/>
      <c r="AS27" s="1005"/>
      <c r="AT27" s="100"/>
      <c r="AU27" s="1005"/>
      <c r="AV27" s="1005"/>
      <c r="AW27" s="727"/>
      <c r="AX27" s="1005"/>
      <c r="AY27" s="100"/>
      <c r="AZ27" s="1005"/>
      <c r="BA27" s="1005"/>
      <c r="BB27" s="1005"/>
      <c r="BC27" s="1005"/>
      <c r="BD27" s="100"/>
      <c r="BE27" s="100"/>
      <c r="BF27" s="100"/>
      <c r="BG27" s="100"/>
      <c r="BH27" s="366"/>
    </row>
    <row r="28" spans="1:60" s="120" customFormat="1" ht="15" x14ac:dyDescent="0.25">
      <c r="A28" s="895" t="s">
        <v>700</v>
      </c>
      <c r="B28" s="897"/>
      <c r="C28" s="898"/>
      <c r="D28" s="898"/>
      <c r="E28" s="898"/>
      <c r="F28" s="898"/>
      <c r="G28" s="899"/>
      <c r="H28" s="899"/>
      <c r="I28" s="899"/>
      <c r="J28" s="899"/>
      <c r="K28" s="898">
        <f t="shared" si="8"/>
        <v>0.26537425453042862</v>
      </c>
      <c r="L28" s="899"/>
      <c r="M28" s="899"/>
      <c r="N28" s="899"/>
      <c r="O28" s="899"/>
      <c r="P28" s="898">
        <f t="shared" si="9"/>
        <v>0.39071041497569375</v>
      </c>
      <c r="Q28" s="899"/>
      <c r="R28" s="899"/>
      <c r="S28" s="899"/>
      <c r="T28" s="899"/>
      <c r="U28" s="898">
        <f t="shared" si="14"/>
        <v>0.43749482516791172</v>
      </c>
      <c r="V28" s="899">
        <f t="shared" si="14"/>
        <v>0.34809441278830527</v>
      </c>
      <c r="W28" s="899">
        <f t="shared" si="14"/>
        <v>0.24125976266459428</v>
      </c>
      <c r="X28" s="899">
        <f t="shared" si="14"/>
        <v>0.23974520064948515</v>
      </c>
      <c r="Y28" s="899">
        <f t="shared" si="12"/>
        <v>0.20898210695731612</v>
      </c>
      <c r="Z28" s="898">
        <f t="shared" si="12"/>
        <v>0.24773404272947994</v>
      </c>
      <c r="AA28" s="899">
        <f t="shared" si="15"/>
        <v>0.34014731462353542</v>
      </c>
      <c r="AB28" s="899">
        <f t="shared" si="15"/>
        <v>0.28783351621780806</v>
      </c>
      <c r="AC28" s="899">
        <f t="shared" ref="AC28:AO28" si="18">AC21/AC$22</f>
        <v>0.28109291631417155</v>
      </c>
      <c r="AD28" s="899">
        <f t="shared" si="18"/>
        <v>0.28927918779873424</v>
      </c>
      <c r="AE28" s="898">
        <f t="shared" si="18"/>
        <v>0.29852235156608042</v>
      </c>
      <c r="AF28" s="899">
        <f t="shared" si="18"/>
        <v>0.30967383654599595</v>
      </c>
      <c r="AG28" s="899">
        <f t="shared" si="18"/>
        <v>0.30691981547291997</v>
      </c>
      <c r="AH28" s="899">
        <f t="shared" si="18"/>
        <v>0.18787916264739543</v>
      </c>
      <c r="AI28" s="899">
        <f t="shared" si="18"/>
        <v>0.17527072507363467</v>
      </c>
      <c r="AJ28" s="898">
        <f t="shared" si="18"/>
        <v>0.22517840045611473</v>
      </c>
      <c r="AK28" s="899">
        <f t="shared" si="18"/>
        <v>0.31542295612163829</v>
      </c>
      <c r="AL28" s="899">
        <f t="shared" si="18"/>
        <v>0.34331531246633684</v>
      </c>
      <c r="AM28" s="899">
        <f t="shared" si="18"/>
        <v>0.3977471045533873</v>
      </c>
      <c r="AN28" s="899">
        <f t="shared" si="18"/>
        <v>0.38280479315696664</v>
      </c>
      <c r="AO28" s="898">
        <f t="shared" si="18"/>
        <v>0.36398405077711776</v>
      </c>
      <c r="AP28" s="899">
        <f t="shared" ref="AP28:AW28" si="19">AP21/AP$22</f>
        <v>0.38713450292397661</v>
      </c>
      <c r="AQ28" s="899">
        <f t="shared" si="19"/>
        <v>0.256129887342611</v>
      </c>
      <c r="AR28" s="899">
        <f t="shared" si="19"/>
        <v>0.32060198381028387</v>
      </c>
      <c r="AS28" s="899">
        <f t="shared" si="19"/>
        <v>0.27848101265822783</v>
      </c>
      <c r="AT28" s="898">
        <f t="shared" si="19"/>
        <v>0.30653855910705224</v>
      </c>
      <c r="AU28" s="899">
        <f t="shared" si="19"/>
        <v>0.28125902396765812</v>
      </c>
      <c r="AV28" s="899">
        <f t="shared" si="19"/>
        <v>0.32563973908680383</v>
      </c>
      <c r="AW28" s="900">
        <f t="shared" si="19"/>
        <v>0.30747982845097044</v>
      </c>
      <c r="AX28" s="899"/>
      <c r="AY28" s="898"/>
      <c r="AZ28" s="899"/>
      <c r="BA28" s="899"/>
      <c r="BB28" s="899"/>
      <c r="BC28" s="899"/>
      <c r="BD28" s="898"/>
      <c r="BE28" s="898"/>
      <c r="BF28" s="898"/>
      <c r="BG28" s="898"/>
      <c r="BH28" s="366"/>
    </row>
    <row r="29" spans="1:60" s="114" customFormat="1" ht="15" x14ac:dyDescent="0.25">
      <c r="A29" s="896" t="s">
        <v>612</v>
      </c>
      <c r="B29" s="665"/>
      <c r="C29" s="252"/>
      <c r="D29" s="252"/>
      <c r="E29" s="252"/>
      <c r="F29" s="252"/>
      <c r="G29" s="370"/>
      <c r="H29" s="370"/>
      <c r="I29" s="370"/>
      <c r="J29" s="370"/>
      <c r="K29" s="252">
        <f>K23+K24+K28</f>
        <v>1</v>
      </c>
      <c r="L29" s="370"/>
      <c r="M29" s="370"/>
      <c r="N29" s="370"/>
      <c r="O29" s="370"/>
      <c r="P29" s="252">
        <f>P23+P24+P28</f>
        <v>1</v>
      </c>
      <c r="Q29" s="370"/>
      <c r="R29" s="370"/>
      <c r="S29" s="370"/>
      <c r="T29" s="370"/>
      <c r="U29" s="252">
        <f t="shared" ref="U29:AW29" si="20">U23+U24+U28</f>
        <v>1</v>
      </c>
      <c r="V29" s="370">
        <f t="shared" si="20"/>
        <v>1</v>
      </c>
      <c r="W29" s="370">
        <f t="shared" si="20"/>
        <v>1.0000000000000002</v>
      </c>
      <c r="X29" s="370">
        <f t="shared" si="20"/>
        <v>1</v>
      </c>
      <c r="Y29" s="370">
        <f t="shared" si="20"/>
        <v>1</v>
      </c>
      <c r="Z29" s="252">
        <f t="shared" si="20"/>
        <v>1</v>
      </c>
      <c r="AA29" s="370">
        <f t="shared" si="20"/>
        <v>1</v>
      </c>
      <c r="AB29" s="370">
        <f t="shared" si="20"/>
        <v>1</v>
      </c>
      <c r="AC29" s="370">
        <f t="shared" si="20"/>
        <v>1</v>
      </c>
      <c r="AD29" s="370">
        <f t="shared" si="20"/>
        <v>1</v>
      </c>
      <c r="AE29" s="252">
        <f t="shared" si="20"/>
        <v>1</v>
      </c>
      <c r="AF29" s="370">
        <f t="shared" si="20"/>
        <v>1</v>
      </c>
      <c r="AG29" s="370">
        <f t="shared" si="20"/>
        <v>1</v>
      </c>
      <c r="AH29" s="370">
        <f t="shared" si="20"/>
        <v>1</v>
      </c>
      <c r="AI29" s="370">
        <f t="shared" si="20"/>
        <v>1</v>
      </c>
      <c r="AJ29" s="252">
        <f t="shared" si="20"/>
        <v>1.0000000000000002</v>
      </c>
      <c r="AK29" s="370">
        <f t="shared" si="20"/>
        <v>0.99999999999999989</v>
      </c>
      <c r="AL29" s="370">
        <f t="shared" si="20"/>
        <v>1</v>
      </c>
      <c r="AM29" s="370">
        <f t="shared" si="20"/>
        <v>1</v>
      </c>
      <c r="AN29" s="370">
        <f t="shared" si="20"/>
        <v>1</v>
      </c>
      <c r="AO29" s="252">
        <f t="shared" si="20"/>
        <v>1</v>
      </c>
      <c r="AP29" s="370">
        <f t="shared" si="20"/>
        <v>1</v>
      </c>
      <c r="AQ29" s="370">
        <f t="shared" si="20"/>
        <v>1</v>
      </c>
      <c r="AR29" s="370">
        <f t="shared" si="20"/>
        <v>1</v>
      </c>
      <c r="AS29" s="370">
        <f t="shared" si="20"/>
        <v>1</v>
      </c>
      <c r="AT29" s="252">
        <f t="shared" si="20"/>
        <v>1</v>
      </c>
      <c r="AU29" s="370">
        <f t="shared" si="20"/>
        <v>1</v>
      </c>
      <c r="AV29" s="370">
        <f t="shared" si="20"/>
        <v>1</v>
      </c>
      <c r="AW29" s="728">
        <f t="shared" si="20"/>
        <v>1</v>
      </c>
      <c r="AX29" s="370"/>
      <c r="AY29" s="252"/>
      <c r="AZ29" s="370"/>
      <c r="BA29" s="370"/>
      <c r="BB29" s="370"/>
      <c r="BC29" s="370"/>
      <c r="BD29" s="252"/>
      <c r="BE29" s="252"/>
      <c r="BF29" s="252"/>
      <c r="BG29" s="252"/>
      <c r="BH29" s="365"/>
    </row>
    <row r="30" spans="1:60" s="114" customFormat="1" ht="15" x14ac:dyDescent="0.25">
      <c r="A30" s="896"/>
      <c r="B30" s="665"/>
      <c r="C30" s="252"/>
      <c r="D30" s="252"/>
      <c r="E30" s="252"/>
      <c r="F30" s="252"/>
      <c r="G30" s="370"/>
      <c r="H30" s="370"/>
      <c r="I30" s="370"/>
      <c r="J30" s="370"/>
      <c r="K30" s="252"/>
      <c r="L30" s="370"/>
      <c r="M30" s="370"/>
      <c r="N30" s="370"/>
      <c r="O30" s="370"/>
      <c r="P30" s="252"/>
      <c r="Q30" s="370"/>
      <c r="R30" s="370"/>
      <c r="S30" s="370"/>
      <c r="T30" s="370"/>
      <c r="U30" s="252"/>
      <c r="V30" s="370"/>
      <c r="W30" s="370"/>
      <c r="X30" s="370"/>
      <c r="Y30" s="370"/>
      <c r="Z30" s="252"/>
      <c r="AA30" s="370"/>
      <c r="AB30" s="370"/>
      <c r="AC30" s="370"/>
      <c r="AD30" s="370"/>
      <c r="AE30" s="252"/>
      <c r="AF30" s="370"/>
      <c r="AG30" s="370"/>
      <c r="AH30" s="370"/>
      <c r="AI30" s="370"/>
      <c r="AJ30" s="252"/>
      <c r="AK30" s="370"/>
      <c r="AL30" s="370"/>
      <c r="AM30" s="370"/>
      <c r="AN30" s="370"/>
      <c r="AO30" s="252"/>
      <c r="AP30" s="370"/>
      <c r="AQ30" s="370"/>
      <c r="AR30" s="370"/>
      <c r="AS30" s="370"/>
      <c r="AT30" s="252"/>
      <c r="AU30" s="370"/>
      <c r="AV30" s="370"/>
      <c r="AW30" s="728"/>
      <c r="AX30" s="370"/>
      <c r="AY30" s="252"/>
      <c r="AZ30" s="370"/>
      <c r="BA30" s="370"/>
      <c r="BB30" s="370"/>
      <c r="BC30" s="370"/>
      <c r="BD30" s="252"/>
      <c r="BE30" s="252"/>
      <c r="BF30" s="252"/>
      <c r="BG30" s="252"/>
      <c r="BH30" s="365"/>
    </row>
    <row r="31" spans="1:60" s="112" customFormat="1" ht="15" x14ac:dyDescent="0.25">
      <c r="A31" s="1020" t="s">
        <v>591</v>
      </c>
      <c r="B31" s="1020"/>
      <c r="C31" s="1043"/>
      <c r="D31" s="1043"/>
      <c r="E31" s="1043"/>
      <c r="F31" s="1043"/>
      <c r="G31" s="1043"/>
      <c r="H31" s="1043"/>
      <c r="I31" s="1043"/>
      <c r="J31" s="1043"/>
      <c r="K31" s="1043"/>
      <c r="L31" s="1043"/>
      <c r="M31" s="1043"/>
      <c r="N31" s="1043"/>
      <c r="O31" s="1043"/>
      <c r="P31" s="1043"/>
      <c r="Q31" s="1043"/>
      <c r="R31" s="1043"/>
      <c r="S31" s="1043"/>
      <c r="T31" s="1043"/>
      <c r="U31" s="1043"/>
      <c r="V31" s="1043"/>
      <c r="W31" s="1043"/>
      <c r="X31" s="1043"/>
      <c r="Y31" s="1043"/>
      <c r="Z31" s="1043"/>
      <c r="AA31" s="1043"/>
      <c r="AB31" s="1043"/>
      <c r="AC31" s="1043"/>
      <c r="AD31" s="1043"/>
      <c r="AE31" s="1043"/>
      <c r="AF31" s="1043"/>
      <c r="AG31" s="1043"/>
      <c r="AH31" s="1043"/>
      <c r="AI31" s="1043"/>
      <c r="AJ31" s="1043"/>
      <c r="AK31" s="1043"/>
      <c r="AL31" s="1043"/>
      <c r="AM31" s="1043"/>
      <c r="AN31" s="1043"/>
      <c r="AO31" s="1043"/>
      <c r="AP31" s="1043"/>
      <c r="AQ31" s="1043"/>
      <c r="AR31" s="1043"/>
      <c r="AS31" s="1043"/>
      <c r="AT31" s="1043"/>
      <c r="AU31" s="1043"/>
      <c r="AV31" s="1043"/>
      <c r="AW31" s="1044"/>
      <c r="AX31" s="1043"/>
      <c r="AY31" s="1043"/>
      <c r="AZ31" s="1043"/>
      <c r="BA31" s="1043"/>
      <c r="BB31" s="1043"/>
      <c r="BC31" s="1043"/>
      <c r="BD31" s="1043"/>
      <c r="BE31" s="1043"/>
      <c r="BF31" s="1043"/>
      <c r="BG31" s="1043"/>
      <c r="BH31" s="1034"/>
    </row>
    <row r="32" spans="1:60" s="356" customFormat="1" ht="15" x14ac:dyDescent="0.25">
      <c r="A32" s="452" t="s">
        <v>594</v>
      </c>
      <c r="B32" s="450"/>
      <c r="C32" s="440"/>
      <c r="D32" s="440"/>
      <c r="E32" s="440"/>
      <c r="F32" s="440"/>
      <c r="G32" s="439"/>
      <c r="H32" s="439"/>
      <c r="I32" s="439"/>
      <c r="J32" s="439"/>
      <c r="K32" s="440"/>
      <c r="L32" s="439"/>
      <c r="M32" s="439"/>
      <c r="N32" s="439"/>
      <c r="O32" s="439"/>
      <c r="P32" s="440"/>
      <c r="Q32" s="439"/>
      <c r="R32" s="439"/>
      <c r="S32" s="439"/>
      <c r="T32" s="439"/>
      <c r="U32" s="440"/>
      <c r="V32" s="439"/>
      <c r="W32" s="439"/>
      <c r="X32" s="439"/>
      <c r="Y32" s="439"/>
      <c r="Z32" s="440"/>
      <c r="AA32" s="439"/>
      <c r="AB32" s="439"/>
      <c r="AC32" s="439"/>
      <c r="AD32" s="439"/>
      <c r="AE32" s="440"/>
      <c r="AF32" s="439"/>
      <c r="AG32" s="439"/>
      <c r="AH32" s="439"/>
      <c r="AI32" s="439"/>
      <c r="AJ32" s="440"/>
      <c r="AK32" s="439">
        <v>134.804</v>
      </c>
      <c r="AL32" s="439">
        <v>106.101</v>
      </c>
      <c r="AM32" s="439">
        <v>110</v>
      </c>
      <c r="AN32" s="439">
        <f>AO32-SUM(AK32,AL32,AM32)</f>
        <v>75.095000000000027</v>
      </c>
      <c r="AO32" s="440">
        <v>426</v>
      </c>
      <c r="AP32" s="439"/>
      <c r="AQ32" s="439"/>
      <c r="AR32" s="439"/>
      <c r="AS32" s="439"/>
      <c r="AT32" s="440">
        <v>451</v>
      </c>
      <c r="AU32" s="439"/>
      <c r="AV32" s="439"/>
      <c r="AW32" s="726"/>
      <c r="AX32" s="439"/>
      <c r="AY32" s="440"/>
      <c r="AZ32" s="439"/>
      <c r="BA32" s="439"/>
      <c r="BB32" s="439"/>
      <c r="BC32" s="439"/>
      <c r="BD32" s="440"/>
      <c r="BE32" s="440"/>
      <c r="BF32" s="440"/>
      <c r="BG32" s="440"/>
      <c r="BH32" s="361"/>
    </row>
    <row r="33" spans="1:60" s="356" customFormat="1" ht="15" x14ac:dyDescent="0.25">
      <c r="A33" s="778" t="s">
        <v>596</v>
      </c>
      <c r="B33" s="450"/>
      <c r="C33" s="440"/>
      <c r="D33" s="440"/>
      <c r="E33" s="440"/>
      <c r="F33" s="440"/>
      <c r="G33" s="439"/>
      <c r="H33" s="439"/>
      <c r="I33" s="439"/>
      <c r="J33" s="439"/>
      <c r="K33" s="440"/>
      <c r="L33" s="439"/>
      <c r="M33" s="439"/>
      <c r="N33" s="439"/>
      <c r="O33" s="439"/>
      <c r="P33" s="440"/>
      <c r="Q33" s="439"/>
      <c r="R33" s="439"/>
      <c r="S33" s="439"/>
      <c r="T33" s="439"/>
      <c r="U33" s="440"/>
      <c r="V33" s="439"/>
      <c r="W33" s="439"/>
      <c r="X33" s="439"/>
      <c r="Y33" s="439"/>
      <c r="Z33" s="440"/>
      <c r="AA33" s="439"/>
      <c r="AB33" s="439"/>
      <c r="AC33" s="439"/>
      <c r="AD33" s="439"/>
      <c r="AE33" s="440"/>
      <c r="AF33" s="439"/>
      <c r="AG33" s="439"/>
      <c r="AH33" s="439"/>
      <c r="AI33" s="439"/>
      <c r="AJ33" s="440"/>
      <c r="AK33" s="439">
        <v>57.265000000000001</v>
      </c>
      <c r="AL33" s="439">
        <v>75.06</v>
      </c>
      <c r="AM33" s="439">
        <v>78</v>
      </c>
      <c r="AN33" s="439">
        <f>AO33-SUM(AK33,AL33,AM33)</f>
        <v>88.675000000000011</v>
      </c>
      <c r="AO33" s="440">
        <v>299</v>
      </c>
      <c r="AP33" s="439"/>
      <c r="AQ33" s="439"/>
      <c r="AR33" s="439"/>
      <c r="AS33" s="439"/>
      <c r="AT33" s="440">
        <v>348</v>
      </c>
      <c r="AU33" s="439"/>
      <c r="AV33" s="439"/>
      <c r="AW33" s="726"/>
      <c r="AX33" s="439"/>
      <c r="AY33" s="440"/>
      <c r="AZ33" s="439"/>
      <c r="BA33" s="439"/>
      <c r="BB33" s="439"/>
      <c r="BC33" s="439"/>
      <c r="BD33" s="440"/>
      <c r="BE33" s="440"/>
      <c r="BF33" s="440"/>
      <c r="BG33" s="440"/>
      <c r="BH33" s="361"/>
    </row>
    <row r="34" spans="1:60" s="356" customFormat="1" ht="15" x14ac:dyDescent="0.25">
      <c r="A34" s="778" t="s">
        <v>597</v>
      </c>
      <c r="B34" s="450"/>
      <c r="C34" s="440"/>
      <c r="D34" s="440"/>
      <c r="E34" s="440"/>
      <c r="F34" s="440"/>
      <c r="G34" s="439"/>
      <c r="H34" s="439"/>
      <c r="I34" s="439"/>
      <c r="J34" s="439"/>
      <c r="K34" s="440"/>
      <c r="L34" s="439"/>
      <c r="M34" s="439"/>
      <c r="N34" s="439"/>
      <c r="O34" s="439"/>
      <c r="P34" s="440"/>
      <c r="Q34" s="439"/>
      <c r="R34" s="439"/>
      <c r="S34" s="439"/>
      <c r="T34" s="439"/>
      <c r="U34" s="440"/>
      <c r="V34" s="439"/>
      <c r="W34" s="439"/>
      <c r="X34" s="439"/>
      <c r="Y34" s="439"/>
      <c r="Z34" s="440"/>
      <c r="AA34" s="439"/>
      <c r="AB34" s="439"/>
      <c r="AC34" s="439"/>
      <c r="AD34" s="439"/>
      <c r="AE34" s="440"/>
      <c r="AF34" s="439"/>
      <c r="AG34" s="439"/>
      <c r="AH34" s="439"/>
      <c r="AI34" s="439"/>
      <c r="AJ34" s="440"/>
      <c r="AK34" s="439">
        <v>23.561</v>
      </c>
      <c r="AL34" s="439">
        <v>26.905999999999999</v>
      </c>
      <c r="AM34" s="439">
        <v>27</v>
      </c>
      <c r="AN34" s="439">
        <f>AO34-SUM(AK34,AL34,AM34)</f>
        <v>26.533000000000001</v>
      </c>
      <c r="AO34" s="440">
        <v>104</v>
      </c>
      <c r="AP34" s="439"/>
      <c r="AQ34" s="439"/>
      <c r="AR34" s="439"/>
      <c r="AS34" s="439"/>
      <c r="AT34" s="440">
        <v>100</v>
      </c>
      <c r="AU34" s="439"/>
      <c r="AV34" s="439"/>
      <c r="AW34" s="726"/>
      <c r="AX34" s="439"/>
      <c r="AY34" s="440"/>
      <c r="AZ34" s="439"/>
      <c r="BA34" s="439"/>
      <c r="BB34" s="439"/>
      <c r="BC34" s="439"/>
      <c r="BD34" s="440"/>
      <c r="BE34" s="440"/>
      <c r="BF34" s="440"/>
      <c r="BG34" s="440"/>
      <c r="BH34" s="361"/>
    </row>
    <row r="35" spans="1:60" s="356" customFormat="1" ht="15" x14ac:dyDescent="0.25">
      <c r="A35" s="777" t="s">
        <v>595</v>
      </c>
      <c r="B35" s="552"/>
      <c r="C35" s="478"/>
      <c r="D35" s="478"/>
      <c r="E35" s="478"/>
      <c r="F35" s="478"/>
      <c r="G35" s="464"/>
      <c r="H35" s="464"/>
      <c r="I35" s="464"/>
      <c r="J35" s="464"/>
      <c r="K35" s="478"/>
      <c r="L35" s="464"/>
      <c r="M35" s="464"/>
      <c r="N35" s="464"/>
      <c r="O35" s="464"/>
      <c r="P35" s="478"/>
      <c r="Q35" s="464"/>
      <c r="R35" s="464"/>
      <c r="S35" s="464"/>
      <c r="T35" s="464"/>
      <c r="U35" s="478"/>
      <c r="V35" s="464"/>
      <c r="W35" s="464"/>
      <c r="X35" s="464"/>
      <c r="Y35" s="464"/>
      <c r="Z35" s="478"/>
      <c r="AA35" s="464"/>
      <c r="AB35" s="464"/>
      <c r="AC35" s="464"/>
      <c r="AD35" s="464"/>
      <c r="AE35" s="478"/>
      <c r="AF35" s="464"/>
      <c r="AG35" s="464"/>
      <c r="AH35" s="464"/>
      <c r="AI35" s="464"/>
      <c r="AJ35" s="478"/>
      <c r="AK35" s="775">
        <f>SUM(AK33:AK34)</f>
        <v>80.825999999999993</v>
      </c>
      <c r="AL35" s="776">
        <f t="shared" ref="AL35:AO35" si="21">SUM(AL33:AL34)</f>
        <v>101.96600000000001</v>
      </c>
      <c r="AM35" s="776">
        <f>SUM(AM33:AM34)</f>
        <v>105</v>
      </c>
      <c r="AN35" s="775">
        <f t="shared" si="21"/>
        <v>115.20800000000001</v>
      </c>
      <c r="AO35" s="774">
        <f t="shared" si="21"/>
        <v>403</v>
      </c>
      <c r="AP35" s="464"/>
      <c r="AQ35" s="464"/>
      <c r="AR35" s="464"/>
      <c r="AS35" s="464"/>
      <c r="AT35" s="774">
        <f>SUM(AT33:AT34)</f>
        <v>448</v>
      </c>
      <c r="AU35" s="464"/>
      <c r="AV35" s="464"/>
      <c r="AW35" s="738"/>
      <c r="AX35" s="464"/>
      <c r="AY35" s="478"/>
      <c r="AZ35" s="464"/>
      <c r="BA35" s="464"/>
      <c r="BB35" s="464"/>
      <c r="BC35" s="464"/>
      <c r="BD35" s="478"/>
      <c r="BE35" s="478"/>
      <c r="BF35" s="478"/>
      <c r="BG35" s="478"/>
      <c r="BH35" s="361"/>
    </row>
    <row r="36" spans="1:60" s="116" customFormat="1" ht="15" x14ac:dyDescent="0.25">
      <c r="A36" s="779" t="s">
        <v>606</v>
      </c>
      <c r="B36" s="529"/>
      <c r="C36" s="45"/>
      <c r="D36" s="45"/>
      <c r="E36" s="45"/>
      <c r="F36" s="45"/>
      <c r="G36" s="44"/>
      <c r="H36" s="44"/>
      <c r="I36" s="44"/>
      <c r="J36" s="44"/>
      <c r="K36" s="45"/>
      <c r="L36" s="44"/>
      <c r="M36" s="44"/>
      <c r="N36" s="44"/>
      <c r="O36" s="44"/>
      <c r="P36" s="45"/>
      <c r="Q36" s="44"/>
      <c r="R36" s="44"/>
      <c r="S36" s="44"/>
      <c r="T36" s="44"/>
      <c r="U36" s="45"/>
      <c r="V36" s="44"/>
      <c r="W36" s="44"/>
      <c r="X36" s="44"/>
      <c r="Y36" s="44"/>
      <c r="Z36" s="45"/>
      <c r="AA36" s="44"/>
      <c r="AB36" s="44"/>
      <c r="AC36" s="44"/>
      <c r="AD36" s="44"/>
      <c r="AE36" s="45"/>
      <c r="AF36" s="44"/>
      <c r="AG36" s="44"/>
      <c r="AH36" s="44"/>
      <c r="AI36" s="44"/>
      <c r="AJ36" s="45"/>
      <c r="AK36" s="44">
        <f>AK32+AK35</f>
        <v>215.63</v>
      </c>
      <c r="AL36" s="44">
        <f t="shared" ref="AL36:AN36" si="22">AL32+AL35</f>
        <v>208.06700000000001</v>
      </c>
      <c r="AM36" s="44">
        <f t="shared" si="22"/>
        <v>215</v>
      </c>
      <c r="AN36" s="44">
        <f t="shared" si="22"/>
        <v>190.30300000000005</v>
      </c>
      <c r="AO36" s="45">
        <f>AO32+AO35</f>
        <v>829</v>
      </c>
      <c r="AP36" s="44"/>
      <c r="AQ36" s="44"/>
      <c r="AR36" s="44"/>
      <c r="AS36" s="44"/>
      <c r="AT36" s="45">
        <f>AT32+AT35</f>
        <v>899</v>
      </c>
      <c r="AU36" s="44"/>
      <c r="AV36" s="44"/>
      <c r="AW36" s="729"/>
      <c r="AX36" s="44"/>
      <c r="AY36" s="45"/>
      <c r="AZ36" s="44"/>
      <c r="BA36" s="44"/>
      <c r="BB36" s="44"/>
      <c r="BC36" s="44"/>
      <c r="BD36" s="45"/>
      <c r="BE36" s="45"/>
      <c r="BF36" s="45"/>
      <c r="BG36" s="45"/>
      <c r="BH36" s="368"/>
    </row>
    <row r="37" spans="1:60" s="112" customFormat="1" ht="15" x14ac:dyDescent="0.25">
      <c r="A37" s="643"/>
      <c r="B37" s="507"/>
      <c r="C37" s="438"/>
      <c r="D37" s="438"/>
      <c r="E37" s="438"/>
      <c r="F37" s="438"/>
      <c r="G37" s="437"/>
      <c r="H37" s="437"/>
      <c r="I37" s="437"/>
      <c r="J37" s="437"/>
      <c r="K37" s="438"/>
      <c r="L37" s="437"/>
      <c r="M37" s="437"/>
      <c r="N37" s="437"/>
      <c r="O37" s="437"/>
      <c r="P37" s="438"/>
      <c r="Q37" s="437"/>
      <c r="R37" s="437"/>
      <c r="S37" s="437"/>
      <c r="T37" s="437"/>
      <c r="U37" s="438"/>
      <c r="V37" s="437"/>
      <c r="W37" s="437"/>
      <c r="X37" s="437"/>
      <c r="Y37" s="437"/>
      <c r="Z37" s="438"/>
      <c r="AA37" s="437"/>
      <c r="AB37" s="437"/>
      <c r="AC37" s="437"/>
      <c r="AD37" s="437"/>
      <c r="AE37" s="438"/>
      <c r="AF37" s="437"/>
      <c r="AG37" s="437"/>
      <c r="AH37" s="437"/>
      <c r="AI37" s="437"/>
      <c r="AJ37" s="438"/>
      <c r="AK37" s="439"/>
      <c r="AL37" s="437"/>
      <c r="AM37" s="437"/>
      <c r="AN37" s="437"/>
      <c r="AO37" s="438"/>
      <c r="AP37" s="439"/>
      <c r="AQ37" s="437"/>
      <c r="AR37" s="437"/>
      <c r="AS37" s="437"/>
      <c r="AT37" s="438"/>
      <c r="AU37" s="439"/>
      <c r="AV37" s="437"/>
      <c r="AW37" s="725"/>
      <c r="AX37" s="437"/>
      <c r="AY37" s="438"/>
      <c r="AZ37" s="437"/>
      <c r="BA37" s="437"/>
      <c r="BB37" s="437"/>
      <c r="BC37" s="437"/>
      <c r="BD37" s="438"/>
      <c r="BE37" s="438"/>
      <c r="BF37" s="438"/>
      <c r="BG37" s="438"/>
      <c r="BH37" s="1034"/>
    </row>
    <row r="38" spans="1:60" s="116" customFormat="1" ht="15" x14ac:dyDescent="0.25">
      <c r="A38" s="645" t="s">
        <v>607</v>
      </c>
      <c r="B38" s="531"/>
      <c r="C38" s="438">
        <v>3.2</v>
      </c>
      <c r="D38" s="438">
        <v>6.3</v>
      </c>
      <c r="E38" s="438">
        <v>8.6</v>
      </c>
      <c r="F38" s="438">
        <v>12.1</v>
      </c>
      <c r="G38" s="437"/>
      <c r="H38" s="437"/>
      <c r="I38" s="437"/>
      <c r="J38" s="437"/>
      <c r="K38" s="438">
        <v>21.5</v>
      </c>
      <c r="L38" s="437"/>
      <c r="M38" s="437"/>
      <c r="N38" s="437"/>
      <c r="O38" s="437"/>
      <c r="P38" s="438">
        <v>46.3</v>
      </c>
      <c r="Q38" s="437"/>
      <c r="R38" s="437"/>
      <c r="S38" s="437"/>
      <c r="T38" s="437"/>
      <c r="U38" s="438">
        <v>68.2</v>
      </c>
      <c r="V38" s="437"/>
      <c r="W38" s="437"/>
      <c r="X38" s="437"/>
      <c r="Y38" s="437"/>
      <c r="Z38" s="438">
        <v>116.8</v>
      </c>
      <c r="AA38" s="437"/>
      <c r="AB38" s="437"/>
      <c r="AC38" s="437"/>
      <c r="AD38" s="437"/>
      <c r="AE38" s="438">
        <v>177.7</v>
      </c>
      <c r="AF38" s="437"/>
      <c r="AG38" s="437"/>
      <c r="AH38" s="437"/>
      <c r="AI38" s="437"/>
      <c r="AJ38" s="438">
        <v>182.6</v>
      </c>
      <c r="AK38" s="439"/>
      <c r="AL38" s="437"/>
      <c r="AM38" s="437"/>
      <c r="AN38" s="437"/>
      <c r="AO38" s="438"/>
      <c r="AP38" s="439"/>
      <c r="AQ38" s="437"/>
      <c r="AR38" s="437"/>
      <c r="AS38" s="437"/>
      <c r="AT38" s="438"/>
      <c r="AU38" s="439"/>
      <c r="AV38" s="437"/>
      <c r="AW38" s="725"/>
      <c r="AX38" s="437"/>
      <c r="AY38" s="438"/>
      <c r="AZ38" s="437"/>
      <c r="BA38" s="437"/>
      <c r="BB38" s="437"/>
      <c r="BC38" s="437"/>
      <c r="BD38" s="438"/>
      <c r="BE38" s="438"/>
      <c r="BF38" s="438"/>
      <c r="BG38" s="438"/>
      <c r="BH38" s="368"/>
    </row>
    <row r="39" spans="1:60" s="112" customFormat="1" ht="15" x14ac:dyDescent="0.25">
      <c r="A39" s="643"/>
      <c r="B39" s="507"/>
      <c r="C39" s="438"/>
      <c r="D39" s="438"/>
      <c r="E39" s="438"/>
      <c r="F39" s="438"/>
      <c r="G39" s="437"/>
      <c r="H39" s="437"/>
      <c r="I39" s="437"/>
      <c r="J39" s="437"/>
      <c r="K39" s="438"/>
      <c r="L39" s="437"/>
      <c r="M39" s="437"/>
      <c r="N39" s="437"/>
      <c r="O39" s="437"/>
      <c r="P39" s="438"/>
      <c r="Q39" s="437"/>
      <c r="R39" s="437"/>
      <c r="S39" s="437"/>
      <c r="T39" s="437"/>
      <c r="U39" s="438"/>
      <c r="V39" s="437"/>
      <c r="W39" s="437"/>
      <c r="X39" s="437"/>
      <c r="Y39" s="437"/>
      <c r="Z39" s="438"/>
      <c r="AA39" s="437"/>
      <c r="AB39" s="437"/>
      <c r="AC39" s="437"/>
      <c r="AD39" s="437"/>
      <c r="AE39" s="438"/>
      <c r="AF39" s="437"/>
      <c r="AG39" s="437"/>
      <c r="AH39" s="437"/>
      <c r="AI39" s="437"/>
      <c r="AJ39" s="438"/>
      <c r="AK39" s="439"/>
      <c r="AL39" s="437"/>
      <c r="AM39" s="437"/>
      <c r="AN39" s="437"/>
      <c r="AO39" s="438"/>
      <c r="AP39" s="439"/>
      <c r="AQ39" s="437"/>
      <c r="AR39" s="437"/>
      <c r="AS39" s="437"/>
      <c r="AT39" s="438"/>
      <c r="AU39" s="439"/>
      <c r="AV39" s="437"/>
      <c r="AW39" s="725"/>
      <c r="AX39" s="437"/>
      <c r="AY39" s="438"/>
      <c r="AZ39" s="437"/>
      <c r="BA39" s="437"/>
      <c r="BB39" s="437"/>
      <c r="BC39" s="437"/>
      <c r="BD39" s="438"/>
      <c r="BE39" s="438"/>
      <c r="BF39" s="438"/>
      <c r="BG39" s="438"/>
      <c r="BH39" s="1034"/>
    </row>
    <row r="40" spans="1:60" s="112" customFormat="1" ht="15" x14ac:dyDescent="0.25">
      <c r="A40" s="1020" t="s">
        <v>27</v>
      </c>
      <c r="B40" s="1020"/>
      <c r="C40" s="1043"/>
      <c r="D40" s="1043"/>
      <c r="E40" s="1043"/>
      <c r="F40" s="1043"/>
      <c r="G40" s="1043"/>
      <c r="H40" s="1043"/>
      <c r="I40" s="1043"/>
      <c r="J40" s="1043"/>
      <c r="K40" s="1043"/>
      <c r="L40" s="1043"/>
      <c r="M40" s="1043"/>
      <c r="N40" s="1043"/>
      <c r="O40" s="1043"/>
      <c r="P40" s="1043"/>
      <c r="Q40" s="1043"/>
      <c r="R40" s="1043"/>
      <c r="S40" s="1043"/>
      <c r="T40" s="1043"/>
      <c r="U40" s="1043"/>
      <c r="V40" s="1043"/>
      <c r="W40" s="1043"/>
      <c r="X40" s="1043"/>
      <c r="Y40" s="1043"/>
      <c r="Z40" s="1043"/>
      <c r="AA40" s="1043"/>
      <c r="AB40" s="1043"/>
      <c r="AC40" s="1043"/>
      <c r="AD40" s="1043"/>
      <c r="AE40" s="1043"/>
      <c r="AF40" s="1043"/>
      <c r="AG40" s="1043"/>
      <c r="AH40" s="1043"/>
      <c r="AI40" s="1043"/>
      <c r="AJ40" s="1043"/>
      <c r="AK40" s="1043"/>
      <c r="AL40" s="1043"/>
      <c r="AM40" s="1043"/>
      <c r="AN40" s="1043"/>
      <c r="AO40" s="1043"/>
      <c r="AP40" s="1043"/>
      <c r="AQ40" s="1043"/>
      <c r="AR40" s="1043"/>
      <c r="AS40" s="1043"/>
      <c r="AT40" s="1043"/>
      <c r="AU40" s="1043"/>
      <c r="AV40" s="1043"/>
      <c r="AW40" s="1044"/>
      <c r="AX40" s="1043"/>
      <c r="AY40" s="1043"/>
      <c r="AZ40" s="1043"/>
      <c r="BA40" s="1043"/>
      <c r="BB40" s="1043"/>
      <c r="BC40" s="1043"/>
      <c r="BD40" s="1043"/>
      <c r="BE40" s="1043"/>
      <c r="BF40" s="1043"/>
      <c r="BG40" s="1043"/>
      <c r="BH40" s="1034"/>
    </row>
    <row r="41" spans="1:60" s="112" customFormat="1" ht="15" hidden="1" outlineLevel="1" x14ac:dyDescent="0.25">
      <c r="A41" s="1020" t="s">
        <v>28</v>
      </c>
      <c r="B41" s="1020"/>
      <c r="C41" s="1043"/>
      <c r="D41" s="1043"/>
      <c r="E41" s="1043"/>
      <c r="F41" s="1043"/>
      <c r="G41" s="1043"/>
      <c r="H41" s="1043"/>
      <c r="I41" s="1043"/>
      <c r="J41" s="1043"/>
      <c r="K41" s="1043"/>
      <c r="L41" s="1043"/>
      <c r="M41" s="1043"/>
      <c r="N41" s="1043"/>
      <c r="O41" s="1043"/>
      <c r="P41" s="1043"/>
      <c r="Q41" s="1043"/>
      <c r="R41" s="1043"/>
      <c r="S41" s="1043"/>
      <c r="T41" s="1043"/>
      <c r="U41" s="1043"/>
      <c r="V41" s="1043"/>
      <c r="W41" s="1043"/>
      <c r="X41" s="1043"/>
      <c r="Y41" s="1043"/>
      <c r="Z41" s="1043"/>
      <c r="AA41" s="1043"/>
      <c r="AB41" s="1043"/>
      <c r="AC41" s="1043"/>
      <c r="AD41" s="1043"/>
      <c r="AE41" s="1043"/>
      <c r="AF41" s="1043"/>
      <c r="AG41" s="1043"/>
      <c r="AH41" s="1043"/>
      <c r="AI41" s="1043"/>
      <c r="AJ41" s="1043"/>
      <c r="AK41" s="1043"/>
      <c r="AL41" s="1043"/>
      <c r="AM41" s="1043"/>
      <c r="AN41" s="1043"/>
      <c r="AO41" s="1043"/>
      <c r="AP41" s="1043"/>
      <c r="AQ41" s="1043"/>
      <c r="AR41" s="1043"/>
      <c r="AS41" s="1043"/>
      <c r="AT41" s="1043"/>
      <c r="AU41" s="1043"/>
      <c r="AV41" s="1043"/>
      <c r="AW41" s="1044"/>
      <c r="AX41" s="1043"/>
      <c r="AY41" s="1043"/>
      <c r="AZ41" s="1043"/>
      <c r="BA41" s="1043"/>
      <c r="BB41" s="1043"/>
      <c r="BC41" s="1043"/>
      <c r="BD41" s="1043"/>
      <c r="BE41" s="1043"/>
      <c r="BF41" s="1043"/>
      <c r="BG41" s="1043"/>
      <c r="BH41" s="1034"/>
    </row>
    <row r="42" spans="1:60" s="112" customFormat="1" ht="15" hidden="1" outlineLevel="1" x14ac:dyDescent="0.25">
      <c r="A42" s="92" t="s">
        <v>29</v>
      </c>
      <c r="B42" s="507"/>
      <c r="C42" s="1045"/>
      <c r="D42" s="1045"/>
      <c r="E42" s="1045"/>
      <c r="F42" s="1045"/>
      <c r="G42" s="1046"/>
      <c r="H42" s="1046"/>
      <c r="I42" s="1046"/>
      <c r="J42" s="1046"/>
      <c r="K42" s="1096">
        <f>F49</f>
        <v>0</v>
      </c>
      <c r="L42" s="1097">
        <f>K49</f>
        <v>376.97899999999998</v>
      </c>
      <c r="M42" s="1097">
        <f>L49</f>
        <v>447.03199999999998</v>
      </c>
      <c r="N42" s="1097">
        <f>M49</f>
        <v>515.779</v>
      </c>
      <c r="O42" s="1097">
        <f>N49</f>
        <v>578.66800000000001</v>
      </c>
      <c r="P42" s="1096">
        <f>K49</f>
        <v>376.97899999999998</v>
      </c>
      <c r="Q42" s="1097">
        <f>P49</f>
        <v>684.59</v>
      </c>
      <c r="R42" s="1097">
        <f>Q49</f>
        <v>792.71100000000013</v>
      </c>
      <c r="S42" s="1097">
        <f>R49</f>
        <v>962.73700000000008</v>
      </c>
      <c r="T42" s="1097">
        <f>S49</f>
        <v>1178.0740000000001</v>
      </c>
      <c r="U42" s="1096">
        <f>P49</f>
        <v>684.59</v>
      </c>
      <c r="V42" s="1097">
        <f>U49</f>
        <v>1556.5289999999998</v>
      </c>
      <c r="W42" s="1098">
        <f>V49</f>
        <v>1909.3099999999997</v>
      </c>
      <c r="X42" s="1098">
        <f>W49</f>
        <v>2126.5809999999992</v>
      </c>
      <c r="Y42" s="1097">
        <f>X49</f>
        <v>2351.177999999999</v>
      </c>
      <c r="Z42" s="1096">
        <f>U49</f>
        <v>1556.5289999999998</v>
      </c>
      <c r="AA42" s="1097">
        <f>Z49</f>
        <v>2462.0609999999997</v>
      </c>
      <c r="AB42" s="1098">
        <f>AA49</f>
        <v>2732.3989999999994</v>
      </c>
      <c r="AC42" s="1098">
        <v>2835.674</v>
      </c>
      <c r="AD42" s="1097">
        <f>AC49</f>
        <v>2926.9270000000001</v>
      </c>
      <c r="AE42" s="1096">
        <f>Z49</f>
        <v>2462.0609999999997</v>
      </c>
      <c r="AF42" s="1046"/>
      <c r="AG42" s="1046"/>
      <c r="AH42" s="1046"/>
      <c r="AI42" s="1046"/>
      <c r="AJ42" s="1045"/>
      <c r="AK42" s="1046"/>
      <c r="AL42" s="1046"/>
      <c r="AM42" s="1046"/>
      <c r="AN42" s="1046"/>
      <c r="AO42" s="1045"/>
      <c r="AP42" s="1046"/>
      <c r="AQ42" s="1046"/>
      <c r="AR42" s="1046"/>
      <c r="AS42" s="1046"/>
      <c r="AT42" s="1045"/>
      <c r="AU42" s="1046"/>
      <c r="AV42" s="1046"/>
      <c r="AW42" s="1047"/>
      <c r="AX42" s="1046"/>
      <c r="AY42" s="1045"/>
      <c r="AZ42" s="1046"/>
      <c r="BA42" s="1046"/>
      <c r="BB42" s="1046"/>
      <c r="BC42" s="1046"/>
      <c r="BD42" s="1045"/>
      <c r="BE42" s="1045"/>
      <c r="BF42" s="1045"/>
      <c r="BG42" s="1045"/>
      <c r="BH42" s="1034"/>
    </row>
    <row r="43" spans="1:60" s="109" customFormat="1" ht="15" hidden="1" outlineLevel="1" x14ac:dyDescent="0.25">
      <c r="A43" s="499" t="s">
        <v>30</v>
      </c>
      <c r="B43" s="214"/>
      <c r="C43" s="1051"/>
      <c r="D43" s="1051"/>
      <c r="E43" s="1051"/>
      <c r="F43" s="1051"/>
      <c r="G43" s="1052"/>
      <c r="H43" s="1052"/>
      <c r="I43" s="1052"/>
      <c r="J43" s="1052"/>
      <c r="K43" s="1066">
        <v>396.36099999999999</v>
      </c>
      <c r="L43" s="1067">
        <v>84.515000000000001</v>
      </c>
      <c r="M43" s="1067">
        <v>85.608999999999995</v>
      </c>
      <c r="N43" s="1067">
        <v>81.835999999999999</v>
      </c>
      <c r="O43" s="1067">
        <f>P43-L43-M43-N43</f>
        <v>128.66700000000003</v>
      </c>
      <c r="P43" s="1066">
        <v>380.62700000000001</v>
      </c>
      <c r="Q43" s="1067">
        <v>139.791</v>
      </c>
      <c r="R43" s="1067">
        <v>208.399</v>
      </c>
      <c r="S43" s="1067">
        <v>257.33800000000002</v>
      </c>
      <c r="T43" s="1067">
        <f>U43-Q43-R43-S43</f>
        <v>441.69200000000006</v>
      </c>
      <c r="U43" s="1066">
        <v>1047.22</v>
      </c>
      <c r="V43" s="1067">
        <v>413.98099999999999</v>
      </c>
      <c r="W43" s="1068">
        <v>291.036</v>
      </c>
      <c r="X43" s="1068">
        <v>375.28699999999998</v>
      </c>
      <c r="Y43" s="1067">
        <f>Z43-SUM(V43,W43,X43)</f>
        <v>274.82399999999984</v>
      </c>
      <c r="Z43" s="1066">
        <v>1355.1279999999999</v>
      </c>
      <c r="AA43" s="1067">
        <v>414.36099999999999</v>
      </c>
      <c r="AB43" s="1068">
        <v>252.553</v>
      </c>
      <c r="AC43" s="1068">
        <v>237.85300000000001</v>
      </c>
      <c r="AD43" s="1067">
        <f>AE43-SUM(AA43,AB43,AC43)</f>
        <v>303.67799999999988</v>
      </c>
      <c r="AE43" s="1066">
        <v>1208.4449999999999</v>
      </c>
      <c r="AF43" s="1052"/>
      <c r="AG43" s="1052"/>
      <c r="AH43" s="1052"/>
      <c r="AI43" s="1052"/>
      <c r="AJ43" s="1051"/>
      <c r="AK43" s="1052"/>
      <c r="AL43" s="1052"/>
      <c r="AM43" s="1052"/>
      <c r="AN43" s="1052"/>
      <c r="AO43" s="1051"/>
      <c r="AP43" s="1052"/>
      <c r="AQ43" s="1052"/>
      <c r="AR43" s="1052"/>
      <c r="AS43" s="1052"/>
      <c r="AT43" s="1051"/>
      <c r="AU43" s="1052"/>
      <c r="AV43" s="1052"/>
      <c r="AW43" s="1053"/>
      <c r="AX43" s="1052"/>
      <c r="AY43" s="1051"/>
      <c r="AZ43" s="1052"/>
      <c r="BA43" s="1052"/>
      <c r="BB43" s="1052"/>
      <c r="BC43" s="1052"/>
      <c r="BD43" s="1051"/>
      <c r="BE43" s="1051"/>
      <c r="BF43" s="1051"/>
      <c r="BG43" s="1051"/>
      <c r="BH43" s="1024"/>
    </row>
    <row r="44" spans="1:60" s="109" customFormat="1" ht="15" hidden="1" outlineLevel="1" x14ac:dyDescent="0.25">
      <c r="A44" s="206" t="s">
        <v>31</v>
      </c>
      <c r="B44" s="214"/>
      <c r="C44" s="1051"/>
      <c r="D44" s="1051"/>
      <c r="E44" s="1051"/>
      <c r="F44" s="1051"/>
      <c r="G44" s="1052"/>
      <c r="H44" s="1052"/>
      <c r="I44" s="1052"/>
      <c r="J44" s="1052"/>
      <c r="K44" s="1066">
        <v>-17.170999999999999</v>
      </c>
      <c r="L44" s="1067">
        <v>-12.401999999999999</v>
      </c>
      <c r="M44" s="1067">
        <v>-15.077999999999999</v>
      </c>
      <c r="N44" s="1067">
        <v>-16.867999999999999</v>
      </c>
      <c r="O44" s="1067">
        <f>P44-L44-M44-N44</f>
        <v>-18.757000000000001</v>
      </c>
      <c r="P44" s="1066">
        <v>-63.104999999999997</v>
      </c>
      <c r="Q44" s="1067">
        <v>-22.041</v>
      </c>
      <c r="R44" s="1067">
        <v>-26.951000000000001</v>
      </c>
      <c r="S44" s="1067">
        <v>-33.463000000000001</v>
      </c>
      <c r="T44" s="1067">
        <f>U44-Q44-R44-S44</f>
        <v>-47.9</v>
      </c>
      <c r="U44" s="1066">
        <v>-130.35499999999999</v>
      </c>
      <c r="V44" s="1067">
        <v>-44.817999999999998</v>
      </c>
      <c r="W44" s="1068">
        <v>-57.567999999999998</v>
      </c>
      <c r="X44" s="1068">
        <v>-71.453999999999994</v>
      </c>
      <c r="Y44" s="1067">
        <f>Z44-SUM(V44,W44,X44)</f>
        <v>-81.327000000000027</v>
      </c>
      <c r="Z44" s="1066">
        <v>-255.167</v>
      </c>
      <c r="AA44" s="1067">
        <v>-78.855999999999995</v>
      </c>
      <c r="AB44" s="1068">
        <v>-93.161000000000001</v>
      </c>
      <c r="AC44" s="1068">
        <v>-96.995000000000005</v>
      </c>
      <c r="AD44" s="1067">
        <f>AE44-SUM(AA44,AB44,AC44)</f>
        <v>-108.47899999999998</v>
      </c>
      <c r="AE44" s="1066">
        <v>-377.49099999999999</v>
      </c>
      <c r="AF44" s="1052"/>
      <c r="AG44" s="1052"/>
      <c r="AH44" s="1052"/>
      <c r="AI44" s="1052"/>
      <c r="AJ44" s="1051"/>
      <c r="AK44" s="1052"/>
      <c r="AL44" s="1052"/>
      <c r="AM44" s="1052"/>
      <c r="AN44" s="1052"/>
      <c r="AO44" s="1051"/>
      <c r="AP44" s="1052"/>
      <c r="AQ44" s="1052"/>
      <c r="AR44" s="1052"/>
      <c r="AS44" s="1052"/>
      <c r="AT44" s="1051"/>
      <c r="AU44" s="1052"/>
      <c r="AV44" s="1052"/>
      <c r="AW44" s="1053"/>
      <c r="AX44" s="1052"/>
      <c r="AY44" s="1051"/>
      <c r="AZ44" s="1052"/>
      <c r="BA44" s="1052"/>
      <c r="BB44" s="1052"/>
      <c r="BC44" s="1052"/>
      <c r="BD44" s="1051"/>
      <c r="BE44" s="1051"/>
      <c r="BF44" s="1051"/>
      <c r="BG44" s="1051"/>
      <c r="BH44" s="1024"/>
    </row>
    <row r="45" spans="1:60" s="109" customFormat="1" ht="15" hidden="1" outlineLevel="1" x14ac:dyDescent="0.25">
      <c r="A45" s="206" t="s">
        <v>32</v>
      </c>
      <c r="B45" s="214"/>
      <c r="C45" s="1051"/>
      <c r="D45" s="1051"/>
      <c r="E45" s="1051"/>
      <c r="F45" s="1051"/>
      <c r="G45" s="1052"/>
      <c r="H45" s="1052"/>
      <c r="I45" s="1052"/>
      <c r="J45" s="1052"/>
      <c r="K45" s="1066">
        <v>-2.2109999999999999</v>
      </c>
      <c r="L45" s="1067">
        <v>-2.06</v>
      </c>
      <c r="M45" s="1067">
        <v>-1.784</v>
      </c>
      <c r="N45" s="1067">
        <v>-2.0790000000000002</v>
      </c>
      <c r="O45" s="1067">
        <f>P45-L45-M45-N45</f>
        <v>-3.327999999999999</v>
      </c>
      <c r="P45" s="1066">
        <v>-9.2509999999999994</v>
      </c>
      <c r="Q45" s="1067">
        <v>-4.3959999999999999</v>
      </c>
      <c r="R45" s="1067">
        <v>-5.0579999999999998</v>
      </c>
      <c r="S45" s="1067">
        <v>-3.6459999999999999</v>
      </c>
      <c r="T45" s="1067">
        <f>U45-Q45-R45-S45</f>
        <v>-8.3869999999999969</v>
      </c>
      <c r="U45" s="1066">
        <v>-21.486999999999998</v>
      </c>
      <c r="V45" s="1067">
        <v>-3.0859999999999999</v>
      </c>
      <c r="W45" s="1068">
        <v>-2.5710000000000002</v>
      </c>
      <c r="X45" s="1068">
        <v>-5.5090000000000003</v>
      </c>
      <c r="Y45" s="1067">
        <f>Z45-SUM(V45,W45,X45)</f>
        <v>-2.3289999999999988</v>
      </c>
      <c r="Z45" s="1066">
        <v>-13.494999999999999</v>
      </c>
      <c r="AA45" s="1067">
        <v>-8.423</v>
      </c>
      <c r="AB45" s="1068">
        <v>-3.7919999999999998</v>
      </c>
      <c r="AC45" s="1068">
        <v>-2.4159999999999999</v>
      </c>
      <c r="AD45" s="1067">
        <f>AE45-SUM(AA45,AB45,AC45)</f>
        <v>-7.5249999999999986</v>
      </c>
      <c r="AE45" s="1066">
        <v>-22.155999999999999</v>
      </c>
      <c r="AF45" s="1052"/>
      <c r="AG45" s="1052"/>
      <c r="AH45" s="1052"/>
      <c r="AI45" s="1052"/>
      <c r="AJ45" s="1051"/>
      <c r="AK45" s="1052"/>
      <c r="AL45" s="1052"/>
      <c r="AM45" s="1052"/>
      <c r="AN45" s="1052"/>
      <c r="AO45" s="1051"/>
      <c r="AP45" s="1052"/>
      <c r="AQ45" s="1052"/>
      <c r="AR45" s="1052"/>
      <c r="AS45" s="1052"/>
      <c r="AT45" s="1051"/>
      <c r="AU45" s="1052"/>
      <c r="AV45" s="1052"/>
      <c r="AW45" s="1053"/>
      <c r="AX45" s="1052"/>
      <c r="AY45" s="1051"/>
      <c r="AZ45" s="1052"/>
      <c r="BA45" s="1052"/>
      <c r="BB45" s="1052"/>
      <c r="BC45" s="1052"/>
      <c r="BD45" s="1051"/>
      <c r="BE45" s="1051"/>
      <c r="BF45" s="1051"/>
      <c r="BG45" s="1051"/>
      <c r="BH45" s="1024"/>
    </row>
    <row r="46" spans="1:60" s="109" customFormat="1" ht="15" hidden="1" outlineLevel="1" x14ac:dyDescent="0.25">
      <c r="A46" s="207" t="s">
        <v>33</v>
      </c>
      <c r="B46" s="644"/>
      <c r="C46" s="1099"/>
      <c r="D46" s="1099"/>
      <c r="E46" s="1099"/>
      <c r="F46" s="1099"/>
      <c r="G46" s="1100"/>
      <c r="H46" s="1100"/>
      <c r="I46" s="1100"/>
      <c r="J46" s="1100"/>
      <c r="K46" s="1099"/>
      <c r="L46" s="1100"/>
      <c r="M46" s="1100"/>
      <c r="N46" s="1100"/>
      <c r="O46" s="1101">
        <f>P46-L46-M46-N46</f>
        <v>0</v>
      </c>
      <c r="P46" s="1099"/>
      <c r="Q46" s="1100"/>
      <c r="R46" s="1100"/>
      <c r="S46" s="1100"/>
      <c r="T46" s="1101">
        <f>U46-Q46-R46-S46</f>
        <v>0</v>
      </c>
      <c r="U46" s="1099"/>
      <c r="V46" s="1100"/>
      <c r="W46" s="1100"/>
      <c r="X46" s="1102">
        <v>-55.009</v>
      </c>
      <c r="Y46" s="1101">
        <f>Z46-SUM(V46,W46,X46)</f>
        <v>-59.254999999999995</v>
      </c>
      <c r="Z46" s="1103">
        <v>-114.264</v>
      </c>
      <c r="AA46" s="1101">
        <v>-41.432000000000002</v>
      </c>
      <c r="AB46" s="1102">
        <v>-31.466999999999999</v>
      </c>
      <c r="AC46" s="1102">
        <v>-32.488999999999997</v>
      </c>
      <c r="AD46" s="1101">
        <f>AE46-SUM(AA46,AB46,AC46)</f>
        <v>-33.371999999999986</v>
      </c>
      <c r="AE46" s="1103">
        <v>-138.76</v>
      </c>
      <c r="AF46" s="1100"/>
      <c r="AG46" s="1100"/>
      <c r="AH46" s="1100"/>
      <c r="AI46" s="1100"/>
      <c r="AJ46" s="1099"/>
      <c r="AK46" s="1100"/>
      <c r="AL46" s="1100"/>
      <c r="AM46" s="1100"/>
      <c r="AN46" s="1100"/>
      <c r="AO46" s="1099"/>
      <c r="AP46" s="1100"/>
      <c r="AQ46" s="1100"/>
      <c r="AR46" s="1100"/>
      <c r="AS46" s="1100"/>
      <c r="AT46" s="1099"/>
      <c r="AU46" s="1100"/>
      <c r="AV46" s="1100"/>
      <c r="AW46" s="1104"/>
      <c r="AX46" s="1100"/>
      <c r="AY46" s="1099"/>
      <c r="AZ46" s="1100"/>
      <c r="BA46" s="1100"/>
      <c r="BB46" s="1100"/>
      <c r="BC46" s="1100"/>
      <c r="BD46" s="1099"/>
      <c r="BE46" s="1099"/>
      <c r="BF46" s="1099"/>
      <c r="BG46" s="1099"/>
      <c r="BH46" s="1024"/>
    </row>
    <row r="47" spans="1:60" s="109" customFormat="1" ht="15" hidden="1" outlineLevel="1" x14ac:dyDescent="0.25">
      <c r="A47" s="499" t="s">
        <v>34</v>
      </c>
      <c r="B47" s="214"/>
      <c r="C47" s="1051"/>
      <c r="D47" s="1051"/>
      <c r="E47" s="1051"/>
      <c r="F47" s="1051"/>
      <c r="G47" s="1052"/>
      <c r="H47" s="1052"/>
      <c r="I47" s="1052"/>
      <c r="J47" s="1052"/>
      <c r="K47" s="1066">
        <f t="shared" ref="K47:AE47" si="23">K44+K45+K46</f>
        <v>-19.381999999999998</v>
      </c>
      <c r="L47" s="1067">
        <f t="shared" si="23"/>
        <v>-14.462</v>
      </c>
      <c r="M47" s="1067">
        <f t="shared" si="23"/>
        <v>-16.861999999999998</v>
      </c>
      <c r="N47" s="1067">
        <f t="shared" si="23"/>
        <v>-18.946999999999999</v>
      </c>
      <c r="O47" s="1067">
        <f t="shared" si="23"/>
        <v>-22.085000000000001</v>
      </c>
      <c r="P47" s="1066">
        <f t="shared" si="23"/>
        <v>-72.355999999999995</v>
      </c>
      <c r="Q47" s="1067">
        <f t="shared" si="23"/>
        <v>-26.437000000000001</v>
      </c>
      <c r="R47" s="1067">
        <f t="shared" si="23"/>
        <v>-32.009</v>
      </c>
      <c r="S47" s="1067">
        <f t="shared" si="23"/>
        <v>-37.109000000000002</v>
      </c>
      <c r="T47" s="1067">
        <f t="shared" si="23"/>
        <v>-56.286999999999992</v>
      </c>
      <c r="U47" s="1066">
        <f t="shared" si="23"/>
        <v>-151.84199999999998</v>
      </c>
      <c r="V47" s="1067">
        <f t="shared" si="23"/>
        <v>-47.903999999999996</v>
      </c>
      <c r="W47" s="1068">
        <f t="shared" si="23"/>
        <v>-60.138999999999996</v>
      </c>
      <c r="X47" s="1068">
        <f t="shared" si="23"/>
        <v>-131.97199999999998</v>
      </c>
      <c r="Y47" s="1067">
        <f t="shared" si="23"/>
        <v>-142.911</v>
      </c>
      <c r="Z47" s="1066">
        <f t="shared" si="23"/>
        <v>-382.92599999999999</v>
      </c>
      <c r="AA47" s="1067">
        <f t="shared" si="23"/>
        <v>-128.71100000000001</v>
      </c>
      <c r="AB47" s="1068">
        <f t="shared" si="23"/>
        <v>-128.42000000000002</v>
      </c>
      <c r="AC47" s="1068">
        <f t="shared" si="23"/>
        <v>-131.9</v>
      </c>
      <c r="AD47" s="1067">
        <f t="shared" si="23"/>
        <v>-149.37599999999998</v>
      </c>
      <c r="AE47" s="1066">
        <f t="shared" si="23"/>
        <v>-538.40699999999993</v>
      </c>
      <c r="AF47" s="1052"/>
      <c r="AG47" s="1052"/>
      <c r="AH47" s="1052"/>
      <c r="AI47" s="1052"/>
      <c r="AJ47" s="1051"/>
      <c r="AK47" s="1052"/>
      <c r="AL47" s="1052"/>
      <c r="AM47" s="1052"/>
      <c r="AN47" s="1052"/>
      <c r="AO47" s="1051"/>
      <c r="AP47" s="1052"/>
      <c r="AQ47" s="1052"/>
      <c r="AR47" s="1052"/>
      <c r="AS47" s="1052"/>
      <c r="AT47" s="1051"/>
      <c r="AU47" s="1052"/>
      <c r="AV47" s="1052"/>
      <c r="AW47" s="1053"/>
      <c r="AX47" s="1052"/>
      <c r="AY47" s="1051"/>
      <c r="AZ47" s="1052"/>
      <c r="BA47" s="1052"/>
      <c r="BB47" s="1052"/>
      <c r="BC47" s="1052"/>
      <c r="BD47" s="1051"/>
      <c r="BE47" s="1051"/>
      <c r="BF47" s="1051"/>
      <c r="BG47" s="1051"/>
      <c r="BH47" s="1024"/>
    </row>
    <row r="48" spans="1:60" s="109" customFormat="1" ht="15" hidden="1" outlineLevel="1" x14ac:dyDescent="0.25">
      <c r="A48" s="499" t="s">
        <v>35</v>
      </c>
      <c r="B48" s="214"/>
      <c r="C48" s="1051"/>
      <c r="D48" s="1051"/>
      <c r="E48" s="1051"/>
      <c r="F48" s="1051"/>
      <c r="G48" s="1052"/>
      <c r="H48" s="1052"/>
      <c r="I48" s="1052"/>
      <c r="J48" s="1052"/>
      <c r="K48" s="1051"/>
      <c r="L48" s="1052"/>
      <c r="M48" s="1052"/>
      <c r="N48" s="1052"/>
      <c r="O48" s="1067">
        <f>P48-L48-M48-N48</f>
        <v>-0.66</v>
      </c>
      <c r="P48" s="1066">
        <v>-0.66</v>
      </c>
      <c r="Q48" s="1067">
        <v>-5.2329999999999997</v>
      </c>
      <c r="R48" s="1067">
        <v>-6.3639999999999999</v>
      </c>
      <c r="S48" s="1067">
        <v>-4.8920000000000003</v>
      </c>
      <c r="T48" s="1067">
        <f>U48-Q48-R48-S48</f>
        <v>-6.9499999999999984</v>
      </c>
      <c r="U48" s="1066">
        <v>-23.439</v>
      </c>
      <c r="V48" s="1067">
        <v>-13.295999999999999</v>
      </c>
      <c r="W48" s="1068">
        <v>-13.625999999999999</v>
      </c>
      <c r="X48" s="1102">
        <v>-18.718</v>
      </c>
      <c r="Y48" s="1067">
        <f>Z48-SUM(V48,W48,X48)</f>
        <v>-21.03</v>
      </c>
      <c r="Z48" s="1066">
        <v>-66.67</v>
      </c>
      <c r="AA48" s="1067">
        <v>-15.311999999999999</v>
      </c>
      <c r="AB48" s="1068">
        <v>-20.867999999999999</v>
      </c>
      <c r="AC48" s="1102">
        <v>-14.7</v>
      </c>
      <c r="AD48" s="1067">
        <f>AE48-SUM(AA48,AB48,AC48)</f>
        <v>-25.795000000000002</v>
      </c>
      <c r="AE48" s="1066">
        <v>-76.674999999999997</v>
      </c>
      <c r="AF48" s="1052"/>
      <c r="AG48" s="1052"/>
      <c r="AH48" s="1100"/>
      <c r="AI48" s="1052"/>
      <c r="AJ48" s="1051"/>
      <c r="AK48" s="1052"/>
      <c r="AL48" s="1052"/>
      <c r="AM48" s="1100"/>
      <c r="AN48" s="1052"/>
      <c r="AO48" s="1051"/>
      <c r="AP48" s="1052"/>
      <c r="AQ48" s="1052"/>
      <c r="AR48" s="1100"/>
      <c r="AS48" s="1052"/>
      <c r="AT48" s="1051"/>
      <c r="AU48" s="1052"/>
      <c r="AV48" s="1052"/>
      <c r="AW48" s="1104"/>
      <c r="AX48" s="1052"/>
      <c r="AY48" s="1051"/>
      <c r="AZ48" s="1052"/>
      <c r="BA48" s="1052"/>
      <c r="BB48" s="1052"/>
      <c r="BC48" s="1052"/>
      <c r="BD48" s="1051"/>
      <c r="BE48" s="1051"/>
      <c r="BF48" s="1051"/>
      <c r="BG48" s="1051"/>
      <c r="BH48" s="1024"/>
    </row>
    <row r="49" spans="1:60" s="112" customFormat="1" ht="15" hidden="1" outlineLevel="1" x14ac:dyDescent="0.25">
      <c r="A49" s="90" t="s">
        <v>36</v>
      </c>
      <c r="B49" s="623"/>
      <c r="C49" s="1105"/>
      <c r="D49" s="1105"/>
      <c r="E49" s="1105"/>
      <c r="F49" s="1105"/>
      <c r="G49" s="1075"/>
      <c r="H49" s="1075"/>
      <c r="I49" s="1075"/>
      <c r="J49" s="1075"/>
      <c r="K49" s="1106">
        <f t="shared" ref="K49:AE49" si="24">K42+K43+K47+K48</f>
        <v>376.97899999999998</v>
      </c>
      <c r="L49" s="1107">
        <f t="shared" si="24"/>
        <v>447.03199999999998</v>
      </c>
      <c r="M49" s="1107">
        <f t="shared" si="24"/>
        <v>515.779</v>
      </c>
      <c r="N49" s="1107">
        <f t="shared" si="24"/>
        <v>578.66800000000001</v>
      </c>
      <c r="O49" s="1107">
        <f t="shared" si="24"/>
        <v>684.59</v>
      </c>
      <c r="P49" s="1106">
        <f t="shared" si="24"/>
        <v>684.59</v>
      </c>
      <c r="Q49" s="1107">
        <f t="shared" si="24"/>
        <v>792.71100000000013</v>
      </c>
      <c r="R49" s="1107">
        <f t="shared" si="24"/>
        <v>962.73700000000008</v>
      </c>
      <c r="S49" s="1107">
        <f t="shared" si="24"/>
        <v>1178.0740000000001</v>
      </c>
      <c r="T49" s="1107">
        <f t="shared" si="24"/>
        <v>1556.529</v>
      </c>
      <c r="U49" s="1106">
        <f t="shared" si="24"/>
        <v>1556.5289999999998</v>
      </c>
      <c r="V49" s="1107">
        <f t="shared" si="24"/>
        <v>1909.3099999999997</v>
      </c>
      <c r="W49" s="1108">
        <f t="shared" si="24"/>
        <v>2126.5809999999992</v>
      </c>
      <c r="X49" s="1108">
        <f t="shared" si="24"/>
        <v>2351.177999999999</v>
      </c>
      <c r="Y49" s="1107">
        <f t="shared" si="24"/>
        <v>2462.0609999999983</v>
      </c>
      <c r="Z49" s="1106">
        <f t="shared" si="24"/>
        <v>2462.0609999999997</v>
      </c>
      <c r="AA49" s="1107">
        <f t="shared" si="24"/>
        <v>2732.3989999999994</v>
      </c>
      <c r="AB49" s="1108">
        <f t="shared" si="24"/>
        <v>2835.6639999999993</v>
      </c>
      <c r="AC49" s="1108">
        <f t="shared" si="24"/>
        <v>2926.9270000000001</v>
      </c>
      <c r="AD49" s="1107">
        <f t="shared" si="24"/>
        <v>3055.4340000000002</v>
      </c>
      <c r="AE49" s="1106">
        <f t="shared" si="24"/>
        <v>3055.4239999999991</v>
      </c>
      <c r="AF49" s="1075"/>
      <c r="AG49" s="1075"/>
      <c r="AH49" s="1075"/>
      <c r="AI49" s="1075"/>
      <c r="AJ49" s="1105"/>
      <c r="AK49" s="1075"/>
      <c r="AL49" s="1075"/>
      <c r="AM49" s="1075"/>
      <c r="AN49" s="1075"/>
      <c r="AO49" s="1105"/>
      <c r="AP49" s="1075"/>
      <c r="AQ49" s="1075"/>
      <c r="AR49" s="1075"/>
      <c r="AS49" s="1075"/>
      <c r="AT49" s="1105"/>
      <c r="AU49" s="1075"/>
      <c r="AV49" s="1075"/>
      <c r="AW49" s="1076"/>
      <c r="AX49" s="1075"/>
      <c r="AY49" s="1105"/>
      <c r="AZ49" s="1075"/>
      <c r="BA49" s="1075"/>
      <c r="BB49" s="1075"/>
      <c r="BC49" s="1075"/>
      <c r="BD49" s="1105"/>
      <c r="BE49" s="1105"/>
      <c r="BF49" s="1105"/>
      <c r="BG49" s="1105"/>
      <c r="BH49" s="1034"/>
    </row>
    <row r="50" spans="1:60" s="112" customFormat="1" ht="15" hidden="1" outlineLevel="1" x14ac:dyDescent="0.25">
      <c r="A50" s="92" t="s">
        <v>37</v>
      </c>
      <c r="B50" s="507"/>
      <c r="C50" s="1045"/>
      <c r="D50" s="1045"/>
      <c r="E50" s="1045"/>
      <c r="F50" s="1045"/>
      <c r="G50" s="1046"/>
      <c r="H50" s="1046"/>
      <c r="I50" s="1046"/>
      <c r="J50" s="1046"/>
      <c r="K50" s="1045"/>
      <c r="L50" s="1097">
        <f t="shared" ref="L50:AE50" si="25">AVERAGE(L42,L49)</f>
        <v>412.00549999999998</v>
      </c>
      <c r="M50" s="1097">
        <f t="shared" si="25"/>
        <v>481.40549999999996</v>
      </c>
      <c r="N50" s="1097">
        <f t="shared" si="25"/>
        <v>547.22350000000006</v>
      </c>
      <c r="O50" s="1097">
        <f t="shared" si="25"/>
        <v>631.62900000000002</v>
      </c>
      <c r="P50" s="1096">
        <f t="shared" si="25"/>
        <v>530.78449999999998</v>
      </c>
      <c r="Q50" s="1097">
        <f t="shared" si="25"/>
        <v>738.65050000000008</v>
      </c>
      <c r="R50" s="1097">
        <f t="shared" si="25"/>
        <v>877.72400000000016</v>
      </c>
      <c r="S50" s="1097">
        <f t="shared" si="25"/>
        <v>1070.4055000000001</v>
      </c>
      <c r="T50" s="1097">
        <f t="shared" si="25"/>
        <v>1367.3015</v>
      </c>
      <c r="U50" s="1096">
        <f t="shared" si="25"/>
        <v>1120.5594999999998</v>
      </c>
      <c r="V50" s="1097">
        <f t="shared" si="25"/>
        <v>1732.9194999999997</v>
      </c>
      <c r="W50" s="1098">
        <f t="shared" si="25"/>
        <v>2017.9454999999994</v>
      </c>
      <c r="X50" s="1098">
        <f t="shared" si="25"/>
        <v>2238.8794999999991</v>
      </c>
      <c r="Y50" s="1097">
        <f t="shared" si="25"/>
        <v>2406.6194999999989</v>
      </c>
      <c r="Z50" s="1096">
        <f t="shared" si="25"/>
        <v>2009.2949999999996</v>
      </c>
      <c r="AA50" s="1097">
        <f t="shared" si="25"/>
        <v>2597.2299999999996</v>
      </c>
      <c r="AB50" s="1098">
        <f t="shared" si="25"/>
        <v>2784.0314999999991</v>
      </c>
      <c r="AC50" s="1098">
        <f t="shared" si="25"/>
        <v>2881.3005000000003</v>
      </c>
      <c r="AD50" s="1097">
        <f t="shared" si="25"/>
        <v>2991.1805000000004</v>
      </c>
      <c r="AE50" s="1096">
        <f t="shared" si="25"/>
        <v>2758.7424999999994</v>
      </c>
      <c r="AF50" s="1046"/>
      <c r="AG50" s="1046"/>
      <c r="AH50" s="1046"/>
      <c r="AI50" s="1046"/>
      <c r="AJ50" s="1045"/>
      <c r="AK50" s="1046"/>
      <c r="AL50" s="1046"/>
      <c r="AM50" s="1046"/>
      <c r="AN50" s="1046"/>
      <c r="AO50" s="1045"/>
      <c r="AP50" s="1046"/>
      <c r="AQ50" s="1046"/>
      <c r="AR50" s="1046"/>
      <c r="AS50" s="1046"/>
      <c r="AT50" s="1045"/>
      <c r="AU50" s="1046"/>
      <c r="AV50" s="1046"/>
      <c r="AW50" s="1047"/>
      <c r="AX50" s="1046"/>
      <c r="AY50" s="1045"/>
      <c r="AZ50" s="1046"/>
      <c r="BA50" s="1046"/>
      <c r="BB50" s="1046"/>
      <c r="BC50" s="1046"/>
      <c r="BD50" s="1045"/>
      <c r="BE50" s="1045"/>
      <c r="BF50" s="1045"/>
      <c r="BG50" s="1045"/>
      <c r="BH50" s="1034"/>
    </row>
    <row r="51" spans="1:60" s="116" customFormat="1" ht="15" hidden="1" outlineLevel="1" x14ac:dyDescent="0.25">
      <c r="A51" s="645"/>
      <c r="B51" s="531"/>
      <c r="C51" s="438"/>
      <c r="D51" s="438"/>
      <c r="E51" s="438"/>
      <c r="F51" s="438"/>
      <c r="G51" s="437"/>
      <c r="H51" s="437"/>
      <c r="I51" s="437"/>
      <c r="J51" s="437"/>
      <c r="K51" s="438"/>
      <c r="L51" s="437"/>
      <c r="M51" s="437"/>
      <c r="N51" s="437"/>
      <c r="O51" s="437"/>
      <c r="P51" s="438"/>
      <c r="Q51" s="437"/>
      <c r="R51" s="437"/>
      <c r="S51" s="437"/>
      <c r="T51" s="437"/>
      <c r="U51" s="438"/>
      <c r="V51" s="437"/>
      <c r="W51" s="437"/>
      <c r="X51" s="437"/>
      <c r="Y51" s="437"/>
      <c r="Z51" s="438"/>
      <c r="AA51" s="437"/>
      <c r="AB51" s="437"/>
      <c r="AC51" s="437"/>
      <c r="AD51" s="437"/>
      <c r="AE51" s="438"/>
      <c r="AF51" s="437"/>
      <c r="AG51" s="437"/>
      <c r="AH51" s="437"/>
      <c r="AI51" s="437"/>
      <c r="AJ51" s="438"/>
      <c r="AK51" s="437"/>
      <c r="AL51" s="437"/>
      <c r="AM51" s="437"/>
      <c r="AN51" s="437"/>
      <c r="AO51" s="438"/>
      <c r="AP51" s="437"/>
      <c r="AQ51" s="437"/>
      <c r="AR51" s="437"/>
      <c r="AS51" s="437"/>
      <c r="AT51" s="438"/>
      <c r="AU51" s="437"/>
      <c r="AV51" s="437"/>
      <c r="AW51" s="725"/>
      <c r="AX51" s="437"/>
      <c r="AY51" s="438"/>
      <c r="AZ51" s="437"/>
      <c r="BA51" s="437"/>
      <c r="BB51" s="437"/>
      <c r="BC51" s="437"/>
      <c r="BD51" s="438"/>
      <c r="BE51" s="438"/>
      <c r="BF51" s="438"/>
      <c r="BG51" s="438"/>
      <c r="BH51" s="368"/>
    </row>
    <row r="52" spans="1:60" s="112" customFormat="1" ht="15" hidden="1" outlineLevel="1" x14ac:dyDescent="0.25">
      <c r="A52" s="40" t="s">
        <v>38</v>
      </c>
      <c r="B52" s="507"/>
      <c r="C52" s="1045"/>
      <c r="D52" s="1045"/>
      <c r="E52" s="1045"/>
      <c r="F52" s="1045"/>
      <c r="G52" s="1046"/>
      <c r="H52" s="1046"/>
      <c r="I52" s="1046"/>
      <c r="J52" s="1046"/>
      <c r="K52" s="1096">
        <v>0</v>
      </c>
      <c r="L52" s="1097">
        <f>K57</f>
        <v>230.85599999999999</v>
      </c>
      <c r="M52" s="1097">
        <f>L57</f>
        <v>270.70600000000002</v>
      </c>
      <c r="N52" s="1097">
        <f>M57</f>
        <v>305.27700000000004</v>
      </c>
      <c r="O52" s="1097">
        <f>N57</f>
        <v>333.57100000000003</v>
      </c>
      <c r="P52" s="1096">
        <v>230.85599999999999</v>
      </c>
      <c r="Q52" s="1097">
        <v>381.096</v>
      </c>
      <c r="R52" s="1097">
        <v>424.10399999999998</v>
      </c>
      <c r="S52" s="1097">
        <v>482.57299999999998</v>
      </c>
      <c r="T52" s="1097">
        <f>S57</f>
        <v>550.09500000000014</v>
      </c>
      <c r="U52" s="1096">
        <v>381.096</v>
      </c>
      <c r="V52" s="1097">
        <v>679.13199999999995</v>
      </c>
      <c r="W52" s="1098">
        <v>800.96799999999996</v>
      </c>
      <c r="X52" s="1098">
        <v>851.68399999999997</v>
      </c>
      <c r="Y52" s="1097">
        <f>X57</f>
        <v>909.40899999999999</v>
      </c>
      <c r="Z52" s="1096">
        <v>679.13199999999995</v>
      </c>
      <c r="AA52" s="1097">
        <v>916.65200000000004</v>
      </c>
      <c r="AB52" s="1098">
        <v>1010.502</v>
      </c>
      <c r="AC52" s="1098">
        <v>1006.6</v>
      </c>
      <c r="AD52" s="1097">
        <f>AC57</f>
        <v>986.45799999999986</v>
      </c>
      <c r="AE52" s="1096">
        <v>916.65200000000004</v>
      </c>
      <c r="AF52" s="1046"/>
      <c r="AG52" s="1046"/>
      <c r="AH52" s="1046"/>
      <c r="AI52" s="1046"/>
      <c r="AJ52" s="1045"/>
      <c r="AK52" s="1046"/>
      <c r="AL52" s="1046"/>
      <c r="AM52" s="1046"/>
      <c r="AN52" s="1046"/>
      <c r="AO52" s="1045"/>
      <c r="AP52" s="1046"/>
      <c r="AQ52" s="1046"/>
      <c r="AR52" s="1046"/>
      <c r="AS52" s="1046"/>
      <c r="AT52" s="1045"/>
      <c r="AU52" s="1046"/>
      <c r="AV52" s="1046"/>
      <c r="AW52" s="1047"/>
      <c r="AX52" s="1046"/>
      <c r="AY52" s="1045"/>
      <c r="AZ52" s="1046"/>
      <c r="BA52" s="1046"/>
      <c r="BB52" s="1046"/>
      <c r="BC52" s="1046"/>
      <c r="BD52" s="1045"/>
      <c r="BE52" s="1045"/>
      <c r="BF52" s="1045"/>
      <c r="BG52" s="1045"/>
      <c r="BH52" s="1034"/>
    </row>
    <row r="53" spans="1:60" s="109" customFormat="1" ht="15" hidden="1" outlineLevel="1" x14ac:dyDescent="0.25">
      <c r="A53" s="213" t="s">
        <v>39</v>
      </c>
      <c r="B53" s="214"/>
      <c r="C53" s="1051"/>
      <c r="D53" s="1051"/>
      <c r="E53" s="1051"/>
      <c r="F53" s="1051"/>
      <c r="G53" s="1052"/>
      <c r="H53" s="1052"/>
      <c r="I53" s="1052"/>
      <c r="J53" s="1052"/>
      <c r="K53" s="1051">
        <v>259.96199999999999</v>
      </c>
      <c r="L53" s="1052">
        <v>63.07</v>
      </c>
      <c r="M53" s="1052">
        <v>62.917999999999999</v>
      </c>
      <c r="N53" s="1052">
        <v>60.991</v>
      </c>
      <c r="O53" s="1052">
        <f>P53-N53-M53-L53</f>
        <v>93.562999999999988</v>
      </c>
      <c r="P53" s="1051">
        <v>280.54199999999997</v>
      </c>
      <c r="Q53" s="1052">
        <v>91.694000000000003</v>
      </c>
      <c r="R53" s="1052">
        <v>118.648</v>
      </c>
      <c r="S53" s="1052">
        <v>137.82</v>
      </c>
      <c r="T53" s="1052">
        <f>U53-S53-R53-Q53</f>
        <v>205.60300000000001</v>
      </c>
      <c r="U53" s="1051">
        <v>553.76499999999999</v>
      </c>
      <c r="V53" s="1052">
        <v>225.76400000000001</v>
      </c>
      <c r="W53" s="1052">
        <v>165.875</v>
      </c>
      <c r="X53" s="1052">
        <v>188.113</v>
      </c>
      <c r="Y53" s="1052">
        <f>Z53-X53-W53-V53</f>
        <v>135.2589999999999</v>
      </c>
      <c r="Z53" s="1051">
        <v>715.01099999999997</v>
      </c>
      <c r="AA53" s="1052">
        <v>238.68700000000001</v>
      </c>
      <c r="AB53" s="1052">
        <v>166.17599999999999</v>
      </c>
      <c r="AC53" s="1052">
        <v>155.13300000000001</v>
      </c>
      <c r="AD53" s="1052">
        <f>AE53-AC53-AB53-AA53</f>
        <v>182.82099999999997</v>
      </c>
      <c r="AE53" s="1051">
        <v>742.81700000000001</v>
      </c>
      <c r="AF53" s="1052"/>
      <c r="AG53" s="1052"/>
      <c r="AH53" s="1052"/>
      <c r="AI53" s="1052"/>
      <c r="AJ53" s="1051"/>
      <c r="AK53" s="1052"/>
      <c r="AL53" s="1052"/>
      <c r="AM53" s="1052"/>
      <c r="AN53" s="1052"/>
      <c r="AO53" s="1051"/>
      <c r="AP53" s="1052"/>
      <c r="AQ53" s="1052"/>
      <c r="AR53" s="1052"/>
      <c r="AS53" s="1052"/>
      <c r="AT53" s="1051"/>
      <c r="AU53" s="1052"/>
      <c r="AV53" s="1052"/>
      <c r="AW53" s="1053"/>
      <c r="AX53" s="1052"/>
      <c r="AY53" s="1051"/>
      <c r="AZ53" s="1052"/>
      <c r="BA53" s="1052"/>
      <c r="BB53" s="1052"/>
      <c r="BC53" s="1052"/>
      <c r="BD53" s="1051"/>
      <c r="BE53" s="1051"/>
      <c r="BF53" s="1051"/>
      <c r="BG53" s="1051"/>
      <c r="BH53" s="1024"/>
    </row>
    <row r="54" spans="1:60" s="109" customFormat="1" ht="15" hidden="1" outlineLevel="1" x14ac:dyDescent="0.25">
      <c r="A54" s="499" t="s">
        <v>40</v>
      </c>
      <c r="B54" s="214"/>
      <c r="C54" s="1051"/>
      <c r="D54" s="1051"/>
      <c r="E54" s="1051"/>
      <c r="F54" s="1051"/>
      <c r="G54" s="1052"/>
      <c r="H54" s="1052"/>
      <c r="I54" s="1052"/>
      <c r="J54" s="1052"/>
      <c r="K54" s="1066">
        <v>-27.654</v>
      </c>
      <c r="L54" s="1067">
        <v>-21.779</v>
      </c>
      <c r="M54" s="1067">
        <v>-27.07</v>
      </c>
      <c r="N54" s="1067">
        <v>-31.181999999999999</v>
      </c>
      <c r="O54" s="1067">
        <f>P54-N54-M54-L54</f>
        <v>-38.538999999999987</v>
      </c>
      <c r="P54" s="1066">
        <v>-118.57</v>
      </c>
      <c r="Q54" s="1067">
        <v>-44.98</v>
      </c>
      <c r="R54" s="1067">
        <v>-54.174999999999997</v>
      </c>
      <c r="S54" s="1067">
        <v>-65.894999999999996</v>
      </c>
      <c r="T54" s="1067">
        <f>U54-S54-R54-Q54</f>
        <v>-64.573999999999984</v>
      </c>
      <c r="U54" s="1066">
        <v>-229.624</v>
      </c>
      <c r="V54" s="1067">
        <v>-97.748000000000005</v>
      </c>
      <c r="W54" s="1068">
        <v>-108.852</v>
      </c>
      <c r="X54" s="1068">
        <v>-125.411</v>
      </c>
      <c r="Y54" s="1067">
        <f>Z54-X54-W54-V54</f>
        <v>-125.10199999999999</v>
      </c>
      <c r="Z54" s="1066">
        <v>-457.113</v>
      </c>
      <c r="AA54" s="1067">
        <v>-137.66800000000001</v>
      </c>
      <c r="AB54" s="1068">
        <v>-165.518</v>
      </c>
      <c r="AC54" s="1068">
        <v>-171.76300000000001</v>
      </c>
      <c r="AD54" s="1067">
        <f>AE54-AC54-AB54-AA54</f>
        <v>-159.36799999999994</v>
      </c>
      <c r="AE54" s="1066">
        <v>-634.31700000000001</v>
      </c>
      <c r="AF54" s="1052"/>
      <c r="AG54" s="1052"/>
      <c r="AH54" s="1052"/>
      <c r="AI54" s="1052"/>
      <c r="AJ54" s="1051"/>
      <c r="AK54" s="1052"/>
      <c r="AL54" s="1052"/>
      <c r="AM54" s="1052"/>
      <c r="AN54" s="1052"/>
      <c r="AO54" s="1051"/>
      <c r="AP54" s="1052"/>
      <c r="AQ54" s="1052"/>
      <c r="AR54" s="1052"/>
      <c r="AS54" s="1052"/>
      <c r="AT54" s="1051"/>
      <c r="AU54" s="1052"/>
      <c r="AV54" s="1052"/>
      <c r="AW54" s="1053"/>
      <c r="AX54" s="1052"/>
      <c r="AY54" s="1051"/>
      <c r="AZ54" s="1052"/>
      <c r="BA54" s="1052"/>
      <c r="BB54" s="1052"/>
      <c r="BC54" s="1052"/>
      <c r="BD54" s="1051"/>
      <c r="BE54" s="1051"/>
      <c r="BF54" s="1051"/>
      <c r="BG54" s="1051"/>
      <c r="BH54" s="1024"/>
    </row>
    <row r="55" spans="1:60" s="109" customFormat="1" ht="15" hidden="1" outlineLevel="1" x14ac:dyDescent="0.25">
      <c r="A55" s="499" t="s">
        <v>470</v>
      </c>
      <c r="B55" s="214"/>
      <c r="C55" s="1051"/>
      <c r="D55" s="1051"/>
      <c r="E55" s="1051"/>
      <c r="F55" s="1051"/>
      <c r="G55" s="1052"/>
      <c r="H55" s="1052"/>
      <c r="I55" s="1052"/>
      <c r="J55" s="1052"/>
      <c r="K55" s="1066">
        <v>-1.452</v>
      </c>
      <c r="L55" s="1067">
        <v>-1.4410000000000001</v>
      </c>
      <c r="M55" s="1067">
        <v>-1.2769999999999999</v>
      </c>
      <c r="N55" s="1067">
        <v>-1.5149999999999999</v>
      </c>
      <c r="O55" s="1067">
        <f>P55-N55-M55-L55</f>
        <v>-5.3569999999999993</v>
      </c>
      <c r="P55" s="1066">
        <v>-9.59</v>
      </c>
      <c r="Q55" s="1067">
        <v>-0.90900000000000003</v>
      </c>
      <c r="R55" s="1067">
        <v>-3.31</v>
      </c>
      <c r="S55" s="1067">
        <v>-2.68</v>
      </c>
      <c r="T55" s="1067">
        <f>U55-S55-R55-Q55</f>
        <v>-5.4530000000000003</v>
      </c>
      <c r="U55" s="1066">
        <v>-12.352</v>
      </c>
      <c r="V55" s="1067">
        <v>-2.996</v>
      </c>
      <c r="W55" s="1068">
        <v>-3.4239999999999999</v>
      </c>
      <c r="X55" s="1068">
        <v>-1.5209999999999999</v>
      </c>
      <c r="Y55" s="1067">
        <f>Z55-X55-W55-V55</f>
        <v>2.7489999999999997</v>
      </c>
      <c r="Z55" s="1066">
        <v>-5.1920000000000002</v>
      </c>
      <c r="AA55" s="1067">
        <v>-1.7370000000000001</v>
      </c>
      <c r="AB55" s="1068">
        <v>-0.61499999999999999</v>
      </c>
      <c r="AC55" s="1068">
        <v>-0.39400000000000002</v>
      </c>
      <c r="AD55" s="1067">
        <f>AE55-AC55-AB55-AA55</f>
        <v>-0.70500000000000007</v>
      </c>
      <c r="AE55" s="1066">
        <v>-3.4510000000000001</v>
      </c>
      <c r="AF55" s="1052"/>
      <c r="AG55" s="1052"/>
      <c r="AH55" s="1052"/>
      <c r="AI55" s="1052"/>
      <c r="AJ55" s="1051"/>
      <c r="AK55" s="1052"/>
      <c r="AL55" s="1052"/>
      <c r="AM55" s="1052"/>
      <c r="AN55" s="1052"/>
      <c r="AO55" s="1051"/>
      <c r="AP55" s="1052"/>
      <c r="AQ55" s="1052"/>
      <c r="AR55" s="1052"/>
      <c r="AS55" s="1052"/>
      <c r="AT55" s="1051"/>
      <c r="AU55" s="1052"/>
      <c r="AV55" s="1052"/>
      <c r="AW55" s="1053"/>
      <c r="AX55" s="1052"/>
      <c r="AY55" s="1051"/>
      <c r="AZ55" s="1052"/>
      <c r="BA55" s="1052"/>
      <c r="BB55" s="1052"/>
      <c r="BC55" s="1052"/>
      <c r="BD55" s="1051"/>
      <c r="BE55" s="1051"/>
      <c r="BF55" s="1051"/>
      <c r="BG55" s="1051"/>
      <c r="BH55" s="1024"/>
    </row>
    <row r="56" spans="1:60" s="109" customFormat="1" ht="15" hidden="1" outlineLevel="1" x14ac:dyDescent="0.25">
      <c r="A56" s="499" t="s">
        <v>41</v>
      </c>
      <c r="B56" s="214"/>
      <c r="C56" s="1051"/>
      <c r="D56" s="1051"/>
      <c r="E56" s="1051"/>
      <c r="F56" s="1051"/>
      <c r="G56" s="1052"/>
      <c r="H56" s="1052"/>
      <c r="I56" s="1052"/>
      <c r="J56" s="1052"/>
      <c r="K56" s="1066">
        <v>0</v>
      </c>
      <c r="L56" s="1067">
        <v>0</v>
      </c>
      <c r="M56" s="1067">
        <v>0</v>
      </c>
      <c r="N56" s="1067">
        <v>0</v>
      </c>
      <c r="O56" s="1067">
        <f>P56-N56-M56-L56</f>
        <v>-2.1419999999999999</v>
      </c>
      <c r="P56" s="1066">
        <v>-2.1419999999999999</v>
      </c>
      <c r="Q56" s="1067">
        <v>-2.7970000000000002</v>
      </c>
      <c r="R56" s="1067">
        <v>-2.6949999999999998</v>
      </c>
      <c r="S56" s="1067">
        <v>-1.7230000000000001</v>
      </c>
      <c r="T56" s="1067">
        <f>U56-S56-R56-Q56</f>
        <v>-6.5379999999999985</v>
      </c>
      <c r="U56" s="1066">
        <v>-13.753</v>
      </c>
      <c r="V56" s="1067">
        <v>-3.1840000000000002</v>
      </c>
      <c r="W56" s="1068">
        <v>-2.883</v>
      </c>
      <c r="X56" s="1068">
        <v>-3.456</v>
      </c>
      <c r="Y56" s="1067">
        <f>Z56-X56-W56-V56</f>
        <v>-5.6630000000000011</v>
      </c>
      <c r="Z56" s="1066">
        <v>-15.186</v>
      </c>
      <c r="AA56" s="1067">
        <v>-5.4320000000000004</v>
      </c>
      <c r="AB56" s="1068">
        <v>-3.9449999999999998</v>
      </c>
      <c r="AC56" s="1068">
        <v>-3.1179999999999999</v>
      </c>
      <c r="AD56" s="1067">
        <f>AE56-AC56-AB56-AA56</f>
        <v>-3.2699999999999996</v>
      </c>
      <c r="AE56" s="1066">
        <v>-15.765000000000001</v>
      </c>
      <c r="AF56" s="1052"/>
      <c r="AG56" s="1052"/>
      <c r="AH56" s="1052"/>
      <c r="AI56" s="1052"/>
      <c r="AJ56" s="1051"/>
      <c r="AK56" s="1052"/>
      <c r="AL56" s="1052"/>
      <c r="AM56" s="1052"/>
      <c r="AN56" s="1052"/>
      <c r="AO56" s="1051"/>
      <c r="AP56" s="1052"/>
      <c r="AQ56" s="1052"/>
      <c r="AR56" s="1052"/>
      <c r="AS56" s="1052"/>
      <c r="AT56" s="1051"/>
      <c r="AU56" s="1052"/>
      <c r="AV56" s="1052"/>
      <c r="AW56" s="1053"/>
      <c r="AX56" s="1052"/>
      <c r="AY56" s="1051"/>
      <c r="AZ56" s="1052"/>
      <c r="BA56" s="1052"/>
      <c r="BB56" s="1052"/>
      <c r="BC56" s="1052"/>
      <c r="BD56" s="1051"/>
      <c r="BE56" s="1051"/>
      <c r="BF56" s="1051"/>
      <c r="BG56" s="1051"/>
      <c r="BH56" s="1024"/>
    </row>
    <row r="57" spans="1:60" s="112" customFormat="1" ht="15" hidden="1" outlineLevel="1" x14ac:dyDescent="0.25">
      <c r="A57" s="90" t="s">
        <v>42</v>
      </c>
      <c r="B57" s="623"/>
      <c r="C57" s="1105"/>
      <c r="D57" s="1105"/>
      <c r="E57" s="1105"/>
      <c r="F57" s="1105"/>
      <c r="G57" s="1075"/>
      <c r="H57" s="1075"/>
      <c r="I57" s="1075"/>
      <c r="J57" s="1075"/>
      <c r="K57" s="1106">
        <f t="shared" ref="K57:AE57" si="26">SUM(K52:K56)</f>
        <v>230.85599999999999</v>
      </c>
      <c r="L57" s="1107">
        <f t="shared" si="26"/>
        <v>270.70600000000002</v>
      </c>
      <c r="M57" s="1107">
        <f t="shared" si="26"/>
        <v>305.27700000000004</v>
      </c>
      <c r="N57" s="1107">
        <f t="shared" si="26"/>
        <v>333.57100000000003</v>
      </c>
      <c r="O57" s="1107">
        <f t="shared" si="26"/>
        <v>381.09600000000006</v>
      </c>
      <c r="P57" s="1106">
        <f t="shared" si="26"/>
        <v>381.096</v>
      </c>
      <c r="Q57" s="1107">
        <f t="shared" si="26"/>
        <v>424.10399999999998</v>
      </c>
      <c r="R57" s="1107">
        <f t="shared" si="26"/>
        <v>482.57199999999995</v>
      </c>
      <c r="S57" s="1107">
        <f t="shared" si="26"/>
        <v>550.09500000000014</v>
      </c>
      <c r="T57" s="1107">
        <f t="shared" si="26"/>
        <v>679.13300000000015</v>
      </c>
      <c r="U57" s="1106">
        <f t="shared" si="26"/>
        <v>679.13199999999995</v>
      </c>
      <c r="V57" s="1107">
        <f t="shared" si="26"/>
        <v>800.96799999999996</v>
      </c>
      <c r="W57" s="1108">
        <f t="shared" si="26"/>
        <v>851.68399999999997</v>
      </c>
      <c r="X57" s="1108">
        <f t="shared" si="26"/>
        <v>909.40899999999999</v>
      </c>
      <c r="Y57" s="1107">
        <f t="shared" si="26"/>
        <v>916.65199999999993</v>
      </c>
      <c r="Z57" s="1106">
        <f t="shared" si="26"/>
        <v>916.65199999999993</v>
      </c>
      <c r="AA57" s="1107">
        <f t="shared" si="26"/>
        <v>1010.502</v>
      </c>
      <c r="AB57" s="1108">
        <f t="shared" si="26"/>
        <v>1006.5999999999998</v>
      </c>
      <c r="AC57" s="1108">
        <f t="shared" si="26"/>
        <v>986.45799999999986</v>
      </c>
      <c r="AD57" s="1107">
        <f t="shared" si="26"/>
        <v>1005.9359999999998</v>
      </c>
      <c r="AE57" s="1106">
        <f t="shared" si="26"/>
        <v>1005.936</v>
      </c>
      <c r="AF57" s="1075"/>
      <c r="AG57" s="1075"/>
      <c r="AH57" s="1075"/>
      <c r="AI57" s="1075"/>
      <c r="AJ57" s="1105"/>
      <c r="AK57" s="1075"/>
      <c r="AL57" s="1075"/>
      <c r="AM57" s="1075"/>
      <c r="AN57" s="1075"/>
      <c r="AO57" s="1105"/>
      <c r="AP57" s="1075"/>
      <c r="AQ57" s="1075"/>
      <c r="AR57" s="1075"/>
      <c r="AS57" s="1075"/>
      <c r="AT57" s="1105"/>
      <c r="AU57" s="1075"/>
      <c r="AV57" s="1075"/>
      <c r="AW57" s="1076"/>
      <c r="AX57" s="1075"/>
      <c r="AY57" s="1105"/>
      <c r="AZ57" s="1075"/>
      <c r="BA57" s="1075"/>
      <c r="BB57" s="1075"/>
      <c r="BC57" s="1075"/>
      <c r="BD57" s="1105"/>
      <c r="BE57" s="1105"/>
      <c r="BF57" s="1105"/>
      <c r="BG57" s="1105"/>
      <c r="BH57" s="1034"/>
    </row>
    <row r="58" spans="1:60" s="112" customFormat="1" ht="15" hidden="1" outlineLevel="1" x14ac:dyDescent="0.25">
      <c r="A58" s="643"/>
      <c r="B58" s="507"/>
      <c r="C58" s="1045"/>
      <c r="D58" s="1045"/>
      <c r="E58" s="1045"/>
      <c r="F58" s="1045"/>
      <c r="G58" s="1046"/>
      <c r="H58" s="1046"/>
      <c r="I58" s="1046"/>
      <c r="J58" s="1046"/>
      <c r="K58" s="1045"/>
      <c r="L58" s="1046"/>
      <c r="M58" s="1046"/>
      <c r="N58" s="1046"/>
      <c r="O58" s="1046"/>
      <c r="P58" s="1045"/>
      <c r="Q58" s="1046"/>
      <c r="R58" s="1046"/>
      <c r="S58" s="1046"/>
      <c r="T58" s="1046"/>
      <c r="U58" s="1045"/>
      <c r="V58" s="1046"/>
      <c r="W58" s="1046"/>
      <c r="X58" s="1046"/>
      <c r="Y58" s="1046"/>
      <c r="Z58" s="1045"/>
      <c r="AA58" s="1046"/>
      <c r="AB58" s="1046"/>
      <c r="AC58" s="1046"/>
      <c r="AD58" s="1046"/>
      <c r="AE58" s="1045"/>
      <c r="AF58" s="1046"/>
      <c r="AG58" s="1046"/>
      <c r="AH58" s="1046"/>
      <c r="AI58" s="1046"/>
      <c r="AJ58" s="1045"/>
      <c r="AK58" s="1046"/>
      <c r="AL58" s="1046"/>
      <c r="AM58" s="1046"/>
      <c r="AN58" s="1046"/>
      <c r="AO58" s="1045"/>
      <c r="AP58" s="1046"/>
      <c r="AQ58" s="1046"/>
      <c r="AR58" s="1046"/>
      <c r="AS58" s="1046"/>
      <c r="AT58" s="1045"/>
      <c r="AU58" s="1046"/>
      <c r="AV58" s="1046"/>
      <c r="AW58" s="1047"/>
      <c r="AX58" s="1046"/>
      <c r="AY58" s="1045"/>
      <c r="AZ58" s="1046"/>
      <c r="BA58" s="1046"/>
      <c r="BB58" s="1046"/>
      <c r="BC58" s="1046"/>
      <c r="BD58" s="1045"/>
      <c r="BE58" s="1045"/>
      <c r="BF58" s="1045"/>
      <c r="BG58" s="1045"/>
      <c r="BH58" s="1034"/>
    </row>
    <row r="59" spans="1:60" s="112" customFormat="1" ht="15" hidden="1" outlineLevel="1" x14ac:dyDescent="0.25">
      <c r="A59" s="40" t="s">
        <v>43</v>
      </c>
      <c r="B59" s="507"/>
      <c r="C59" s="1045"/>
      <c r="D59" s="1045"/>
      <c r="E59" s="1045"/>
      <c r="F59" s="1045"/>
      <c r="G59" s="1046"/>
      <c r="H59" s="1046"/>
      <c r="I59" s="1046"/>
      <c r="J59" s="1046"/>
      <c r="K59" s="1096">
        <v>0</v>
      </c>
      <c r="L59" s="1097">
        <f>K65</f>
        <v>236.298</v>
      </c>
      <c r="M59" s="1097">
        <f>L65</f>
        <v>290.61699999999996</v>
      </c>
      <c r="N59" s="1097">
        <f>M65</f>
        <v>345.19199999999995</v>
      </c>
      <c r="O59" s="1097">
        <f>N65</f>
        <v>397.7419999999999</v>
      </c>
      <c r="P59" s="1096">
        <v>236.298</v>
      </c>
      <c r="Q59" s="1097">
        <v>487.87900000000002</v>
      </c>
      <c r="R59" s="1097">
        <v>606.221</v>
      </c>
      <c r="S59" s="1097">
        <v>793.17700000000002</v>
      </c>
      <c r="T59" s="1097">
        <f>S65</f>
        <v>1038.31</v>
      </c>
      <c r="U59" s="1096">
        <v>487.88</v>
      </c>
      <c r="V59" s="1097">
        <v>1430.5730000000001</v>
      </c>
      <c r="W59" s="1098">
        <v>1775.498</v>
      </c>
      <c r="X59" s="1098">
        <v>2007.347</v>
      </c>
      <c r="Y59" s="1097">
        <f>X65</f>
        <v>2260.1229999999996</v>
      </c>
      <c r="Z59" s="1096">
        <v>1430.5730000000001</v>
      </c>
      <c r="AA59" s="1097">
        <v>2389.9270000000001</v>
      </c>
      <c r="AB59" s="1098">
        <v>2692.5929999999998</v>
      </c>
      <c r="AC59" s="1098">
        <v>2835.8490000000002</v>
      </c>
      <c r="AD59" s="1097">
        <f>AC65</f>
        <v>2953.556</v>
      </c>
      <c r="AE59" s="1096">
        <v>2389.9270000000001</v>
      </c>
      <c r="AF59" s="1046"/>
      <c r="AG59" s="1046"/>
      <c r="AH59" s="1046"/>
      <c r="AI59" s="1046"/>
      <c r="AJ59" s="1045"/>
      <c r="AK59" s="1046"/>
      <c r="AL59" s="1046"/>
      <c r="AM59" s="1046"/>
      <c r="AN59" s="1046"/>
      <c r="AO59" s="1045"/>
      <c r="AP59" s="1046"/>
      <c r="AQ59" s="1046"/>
      <c r="AR59" s="1046"/>
      <c r="AS59" s="1046"/>
      <c r="AT59" s="1045"/>
      <c r="AU59" s="1046"/>
      <c r="AV59" s="1046"/>
      <c r="AW59" s="1047"/>
      <c r="AX59" s="1046"/>
      <c r="AY59" s="1045"/>
      <c r="AZ59" s="1046"/>
      <c r="BA59" s="1046"/>
      <c r="BB59" s="1046"/>
      <c r="BC59" s="1046"/>
      <c r="BD59" s="1045"/>
      <c r="BE59" s="1045"/>
      <c r="BF59" s="1045"/>
      <c r="BG59" s="1045"/>
      <c r="BH59" s="1034"/>
    </row>
    <row r="60" spans="1:60" s="109" customFormat="1" ht="15" hidden="1" outlineLevel="1" x14ac:dyDescent="0.25">
      <c r="A60" s="499" t="s">
        <v>44</v>
      </c>
      <c r="B60" s="214"/>
      <c r="C60" s="1051"/>
      <c r="D60" s="1051"/>
      <c r="E60" s="1051"/>
      <c r="F60" s="1051"/>
      <c r="G60" s="1052"/>
      <c r="H60" s="1052"/>
      <c r="I60" s="1052"/>
      <c r="J60" s="1052"/>
      <c r="K60" s="1066">
        <v>237.62</v>
      </c>
      <c r="L60" s="1067">
        <v>55.601999999999997</v>
      </c>
      <c r="M60" s="1067">
        <v>55.703000000000003</v>
      </c>
      <c r="N60" s="1067">
        <v>53.917000000000002</v>
      </c>
      <c r="O60" s="1067">
        <f>P60-N60-M60-L60</f>
        <v>97.304000000000002</v>
      </c>
      <c r="P60" s="1066">
        <v>262.52600000000001</v>
      </c>
      <c r="Q60" s="1067">
        <v>124.11199999999999</v>
      </c>
      <c r="R60" s="1067">
        <v>198.29</v>
      </c>
      <c r="S60" s="1067">
        <v>260.76</v>
      </c>
      <c r="T60" s="1067">
        <f>U60-S60-R60-Q60</f>
        <v>430.57100000000003</v>
      </c>
      <c r="U60" s="1066">
        <v>1013.7329999999999</v>
      </c>
      <c r="V60" s="1067">
        <v>381.49900000000002</v>
      </c>
      <c r="W60" s="1068">
        <v>270.43599999999998</v>
      </c>
      <c r="X60" s="1068">
        <v>361.43400000000003</v>
      </c>
      <c r="Y60" s="1067">
        <f>Z60-X60-W60-V60</f>
        <v>254.07600000000002</v>
      </c>
      <c r="Z60" s="1066">
        <v>1267.4449999999999</v>
      </c>
      <c r="AA60" s="1067">
        <v>418.721</v>
      </c>
      <c r="AB60" s="1068">
        <v>143.59800000000001</v>
      </c>
      <c r="AC60" s="1068">
        <v>240.13399999999999</v>
      </c>
      <c r="AD60" s="1067">
        <f>AE60-AC60-AB60-AA60</f>
        <v>399.20700000000011</v>
      </c>
      <c r="AE60" s="1066">
        <v>1201.6600000000001</v>
      </c>
      <c r="AF60" s="1052"/>
      <c r="AG60" s="1052"/>
      <c r="AH60" s="1052"/>
      <c r="AI60" s="1052"/>
      <c r="AJ60" s="1051"/>
      <c r="AK60" s="1052"/>
      <c r="AL60" s="1052"/>
      <c r="AM60" s="1052"/>
      <c r="AN60" s="1052"/>
      <c r="AO60" s="1051"/>
      <c r="AP60" s="1052"/>
      <c r="AQ60" s="1052"/>
      <c r="AR60" s="1052"/>
      <c r="AS60" s="1052"/>
      <c r="AT60" s="1051"/>
      <c r="AU60" s="1052"/>
      <c r="AV60" s="1052"/>
      <c r="AW60" s="1053"/>
      <c r="AX60" s="1052"/>
      <c r="AY60" s="1051"/>
      <c r="AZ60" s="1052"/>
      <c r="BA60" s="1052"/>
      <c r="BB60" s="1052"/>
      <c r="BC60" s="1052"/>
      <c r="BD60" s="1051"/>
      <c r="BE60" s="1051"/>
      <c r="BF60" s="1051"/>
      <c r="BG60" s="1051"/>
      <c r="BH60" s="1024"/>
    </row>
    <row r="61" spans="1:60" s="109" customFormat="1" ht="15" hidden="1" outlineLevel="1" x14ac:dyDescent="0.25">
      <c r="A61" s="499" t="s">
        <v>45</v>
      </c>
      <c r="B61" s="214"/>
      <c r="C61" s="1051"/>
      <c r="D61" s="1051"/>
      <c r="E61" s="1051"/>
      <c r="F61" s="1051"/>
      <c r="G61" s="1052"/>
      <c r="H61" s="1052"/>
      <c r="I61" s="1052"/>
      <c r="J61" s="1052"/>
      <c r="K61" s="1066">
        <v>0</v>
      </c>
      <c r="L61" s="1067">
        <v>0</v>
      </c>
      <c r="M61" s="1067">
        <v>0</v>
      </c>
      <c r="N61" s="1067">
        <v>0</v>
      </c>
      <c r="O61" s="1067">
        <f>P61-N61-M61-L61</f>
        <v>0</v>
      </c>
      <c r="P61" s="1066">
        <v>0</v>
      </c>
      <c r="Q61" s="1067">
        <v>-0.64400000000000002</v>
      </c>
      <c r="R61" s="1067">
        <v>-3.7429999999999999</v>
      </c>
      <c r="S61" s="1067">
        <v>-9.4629999999999992</v>
      </c>
      <c r="T61" s="1067">
        <f>U61-S61-R61-Q61</f>
        <v>-15.762000000000002</v>
      </c>
      <c r="U61" s="1066">
        <v>-29.611999999999998</v>
      </c>
      <c r="V61" s="1067">
        <v>-22.826000000000001</v>
      </c>
      <c r="W61" s="1068">
        <v>-23.216000000000001</v>
      </c>
      <c r="X61" s="1068">
        <v>-33.128999999999998</v>
      </c>
      <c r="Y61" s="1067">
        <f>Z61-X61-W61-V61</f>
        <v>-36.907000000000011</v>
      </c>
      <c r="Z61" s="1066">
        <v>-116.078</v>
      </c>
      <c r="AA61" s="1067">
        <v>-48.384</v>
      </c>
      <c r="AB61" s="1068">
        <v>-67.096999999999994</v>
      </c>
      <c r="AC61" s="1068">
        <v>-74.251999999999995</v>
      </c>
      <c r="AD61" s="1067">
        <f>AE61-AC61-AB61-AA61</f>
        <v>-67.341999999999985</v>
      </c>
      <c r="AE61" s="1066">
        <v>-257.07499999999999</v>
      </c>
      <c r="AF61" s="1052"/>
      <c r="AG61" s="1052"/>
      <c r="AH61" s="1052"/>
      <c r="AI61" s="1052"/>
      <c r="AJ61" s="1051"/>
      <c r="AK61" s="1052"/>
      <c r="AL61" s="1052"/>
      <c r="AM61" s="1052"/>
      <c r="AN61" s="1052"/>
      <c r="AO61" s="1051"/>
      <c r="AP61" s="1052"/>
      <c r="AQ61" s="1052"/>
      <c r="AR61" s="1052"/>
      <c r="AS61" s="1052"/>
      <c r="AT61" s="1051"/>
      <c r="AU61" s="1052"/>
      <c r="AV61" s="1052"/>
      <c r="AW61" s="1053"/>
      <c r="AX61" s="1052"/>
      <c r="AY61" s="1051"/>
      <c r="AZ61" s="1052"/>
      <c r="BA61" s="1052"/>
      <c r="BB61" s="1052"/>
      <c r="BC61" s="1052"/>
      <c r="BD61" s="1051"/>
      <c r="BE61" s="1051"/>
      <c r="BF61" s="1051"/>
      <c r="BG61" s="1051"/>
      <c r="BH61" s="1024"/>
    </row>
    <row r="62" spans="1:60" s="109" customFormat="1" ht="15" hidden="1" outlineLevel="1" x14ac:dyDescent="0.25">
      <c r="A62" s="499" t="s">
        <v>471</v>
      </c>
      <c r="B62" s="214"/>
      <c r="C62" s="1051"/>
      <c r="D62" s="1051"/>
      <c r="E62" s="1051"/>
      <c r="F62" s="1051"/>
      <c r="G62" s="1052"/>
      <c r="H62" s="1052"/>
      <c r="I62" s="1052"/>
      <c r="J62" s="1052"/>
      <c r="K62" s="1066">
        <v>-1.3220000000000001</v>
      </c>
      <c r="L62" s="1067">
        <v>-1.2829999999999999</v>
      </c>
      <c r="M62" s="1067">
        <v>-1.1279999999999999</v>
      </c>
      <c r="N62" s="1067">
        <v>-1.367</v>
      </c>
      <c r="O62" s="1067">
        <f>P62-N62-M62-L62</f>
        <v>-4.7789999999999999</v>
      </c>
      <c r="P62" s="1066">
        <v>-8.5570000000000004</v>
      </c>
      <c r="Q62" s="1067">
        <v>-1.07</v>
      </c>
      <c r="R62" s="1067">
        <v>-2.9660000000000002</v>
      </c>
      <c r="S62" s="1067">
        <v>-2.3559999999999999</v>
      </c>
      <c r="T62" s="1067">
        <f>U62-S62-R62-Q62</f>
        <v>-4.6499999999999995</v>
      </c>
      <c r="U62" s="1066">
        <v>-11.042</v>
      </c>
      <c r="V62" s="1067">
        <v>-2.5009999999999999</v>
      </c>
      <c r="W62" s="1068">
        <v>-3.3180000000000001</v>
      </c>
      <c r="X62" s="1068">
        <v>-4.2910000000000004</v>
      </c>
      <c r="Y62" s="1067">
        <f>Z62-X62-W62-V62</f>
        <v>-6.4329999999999998</v>
      </c>
      <c r="Z62" s="1066">
        <v>-16.542999999999999</v>
      </c>
      <c r="AA62" s="1067">
        <v>-6.1420000000000003</v>
      </c>
      <c r="AB62" s="1068">
        <v>-2.1059999999999999</v>
      </c>
      <c r="AC62" s="1068">
        <v>-1.3220000000000001</v>
      </c>
      <c r="AD62" s="1067">
        <f>AE62-AC62-AB62-AA62</f>
        <v>-9.2109999999999985</v>
      </c>
      <c r="AE62" s="1066">
        <v>-18.780999999999999</v>
      </c>
      <c r="AF62" s="1052"/>
      <c r="AG62" s="1052"/>
      <c r="AH62" s="1052"/>
      <c r="AI62" s="1052"/>
      <c r="AJ62" s="1051"/>
      <c r="AK62" s="1052"/>
      <c r="AL62" s="1052"/>
      <c r="AM62" s="1052"/>
      <c r="AN62" s="1052"/>
      <c r="AO62" s="1051"/>
      <c r="AP62" s="1052"/>
      <c r="AQ62" s="1052"/>
      <c r="AR62" s="1052"/>
      <c r="AS62" s="1052"/>
      <c r="AT62" s="1051"/>
      <c r="AU62" s="1052"/>
      <c r="AV62" s="1052"/>
      <c r="AW62" s="1053"/>
      <c r="AX62" s="1052"/>
      <c r="AY62" s="1051"/>
      <c r="AZ62" s="1052"/>
      <c r="BA62" s="1052"/>
      <c r="BB62" s="1052"/>
      <c r="BC62" s="1052"/>
      <c r="BD62" s="1051"/>
      <c r="BE62" s="1051"/>
      <c r="BF62" s="1051"/>
      <c r="BG62" s="1051"/>
      <c r="BH62" s="1024"/>
    </row>
    <row r="63" spans="1:60" s="109" customFormat="1" ht="15" hidden="1" outlineLevel="1" x14ac:dyDescent="0.25">
      <c r="A63" s="499" t="s">
        <v>46</v>
      </c>
      <c r="B63" s="214"/>
      <c r="C63" s="1051"/>
      <c r="D63" s="1051"/>
      <c r="E63" s="1051"/>
      <c r="F63" s="1051"/>
      <c r="G63" s="1052"/>
      <c r="H63" s="1052"/>
      <c r="I63" s="1052"/>
      <c r="J63" s="1052"/>
      <c r="K63" s="1066">
        <v>0</v>
      </c>
      <c r="L63" s="1067">
        <v>0</v>
      </c>
      <c r="M63" s="1067">
        <v>0</v>
      </c>
      <c r="N63" s="1067">
        <v>0</v>
      </c>
      <c r="O63" s="1067">
        <f>P63-N63-M63-L63</f>
        <v>-2.387</v>
      </c>
      <c r="P63" s="1066">
        <v>-2.387</v>
      </c>
      <c r="Q63" s="1067">
        <v>-4.056</v>
      </c>
      <c r="R63" s="1067">
        <v>-4.625</v>
      </c>
      <c r="S63" s="1067">
        <v>-3.8079999999999998</v>
      </c>
      <c r="T63" s="1067">
        <f>U63-S63-R63-Q63</f>
        <v>-17.896999999999998</v>
      </c>
      <c r="U63" s="1066">
        <v>-30.385999999999999</v>
      </c>
      <c r="V63" s="1067">
        <v>-11.247</v>
      </c>
      <c r="W63" s="1068">
        <v>-12.053000000000001</v>
      </c>
      <c r="X63" s="1068">
        <v>-15.516</v>
      </c>
      <c r="Y63" s="1067">
        <f>Z63-X63-W63-V63</f>
        <v>-24.102999999999994</v>
      </c>
      <c r="Z63" s="1066">
        <v>-62.918999999999997</v>
      </c>
      <c r="AA63" s="1067">
        <v>-20.199000000000002</v>
      </c>
      <c r="AB63" s="1068">
        <v>-19.634</v>
      </c>
      <c r="AC63" s="1068">
        <v>-14.372</v>
      </c>
      <c r="AD63" s="1067">
        <f>AE63-AC63-AB63-AA63</f>
        <v>-26.394000000000002</v>
      </c>
      <c r="AE63" s="1066">
        <v>-80.599000000000004</v>
      </c>
      <c r="AF63" s="1052"/>
      <c r="AG63" s="1052"/>
      <c r="AH63" s="1052"/>
      <c r="AI63" s="1052"/>
      <c r="AJ63" s="1051"/>
      <c r="AK63" s="1052"/>
      <c r="AL63" s="1052"/>
      <c r="AM63" s="1052"/>
      <c r="AN63" s="1052"/>
      <c r="AO63" s="1051"/>
      <c r="AP63" s="1052"/>
      <c r="AQ63" s="1052"/>
      <c r="AR63" s="1052"/>
      <c r="AS63" s="1052"/>
      <c r="AT63" s="1051"/>
      <c r="AU63" s="1052"/>
      <c r="AV63" s="1052"/>
      <c r="AW63" s="1053"/>
      <c r="AX63" s="1052"/>
      <c r="AY63" s="1051"/>
      <c r="AZ63" s="1052"/>
      <c r="BA63" s="1052"/>
      <c r="BB63" s="1052"/>
      <c r="BC63" s="1052"/>
      <c r="BD63" s="1051"/>
      <c r="BE63" s="1051"/>
      <c r="BF63" s="1051"/>
      <c r="BG63" s="1051"/>
      <c r="BH63" s="1024"/>
    </row>
    <row r="64" spans="1:60" s="109" customFormat="1" ht="15" hidden="1" outlineLevel="1" x14ac:dyDescent="0.25">
      <c r="A64" s="499" t="s">
        <v>47</v>
      </c>
      <c r="B64" s="214"/>
      <c r="C64" s="1051"/>
      <c r="D64" s="1051"/>
      <c r="E64" s="1051"/>
      <c r="F64" s="1051"/>
      <c r="G64" s="1052"/>
      <c r="H64" s="1052"/>
      <c r="I64" s="1052"/>
      <c r="J64" s="1052"/>
      <c r="K64" s="1066">
        <v>0</v>
      </c>
      <c r="L64" s="1067">
        <v>0</v>
      </c>
      <c r="M64" s="1067">
        <v>0</v>
      </c>
      <c r="N64" s="1067">
        <v>0</v>
      </c>
      <c r="O64" s="1067">
        <f>P64-N64-M64-L64</f>
        <v>0</v>
      </c>
      <c r="P64" s="1066">
        <v>0</v>
      </c>
      <c r="Q64" s="1067">
        <v>0</v>
      </c>
      <c r="R64" s="1067">
        <v>0</v>
      </c>
      <c r="S64" s="1052"/>
      <c r="T64" s="1067">
        <f>U64-S64-R64-Q64</f>
        <v>0</v>
      </c>
      <c r="U64" s="1066">
        <v>0</v>
      </c>
      <c r="V64" s="1067">
        <v>0</v>
      </c>
      <c r="W64" s="1068">
        <v>0</v>
      </c>
      <c r="X64" s="1068">
        <v>-55.722000000000001</v>
      </c>
      <c r="Y64" s="1067">
        <f>Z64-X64-W64-V64</f>
        <v>-56.829000000000001</v>
      </c>
      <c r="Z64" s="1066">
        <v>-112.551</v>
      </c>
      <c r="AA64" s="1067">
        <v>-41.33</v>
      </c>
      <c r="AB64" s="1068">
        <v>-31.393999999999998</v>
      </c>
      <c r="AC64" s="1068">
        <v>-32.481000000000002</v>
      </c>
      <c r="AD64" s="1067">
        <f>AE64-AC64-AB64-AA64</f>
        <v>-33.372</v>
      </c>
      <c r="AE64" s="1066">
        <v>-138.577</v>
      </c>
      <c r="AF64" s="1052"/>
      <c r="AG64" s="1052"/>
      <c r="AH64" s="1052"/>
      <c r="AI64" s="1052"/>
      <c r="AJ64" s="1051"/>
      <c r="AK64" s="1052"/>
      <c r="AL64" s="1052"/>
      <c r="AM64" s="1052"/>
      <c r="AN64" s="1052"/>
      <c r="AO64" s="1051"/>
      <c r="AP64" s="1052"/>
      <c r="AQ64" s="1052"/>
      <c r="AR64" s="1052"/>
      <c r="AS64" s="1052"/>
      <c r="AT64" s="1051"/>
      <c r="AU64" s="1052"/>
      <c r="AV64" s="1052"/>
      <c r="AW64" s="1053"/>
      <c r="AX64" s="1052"/>
      <c r="AY64" s="1051"/>
      <c r="AZ64" s="1052"/>
      <c r="BA64" s="1052"/>
      <c r="BB64" s="1052"/>
      <c r="BC64" s="1052"/>
      <c r="BD64" s="1051"/>
      <c r="BE64" s="1051"/>
      <c r="BF64" s="1051"/>
      <c r="BG64" s="1051"/>
      <c r="BH64" s="1024"/>
    </row>
    <row r="65" spans="1:60" s="112" customFormat="1" ht="15" hidden="1" outlineLevel="1" x14ac:dyDescent="0.25">
      <c r="A65" s="90" t="s">
        <v>48</v>
      </c>
      <c r="B65" s="623"/>
      <c r="C65" s="1105"/>
      <c r="D65" s="1105"/>
      <c r="E65" s="1105"/>
      <c r="F65" s="1105"/>
      <c r="G65" s="1075"/>
      <c r="H65" s="1075"/>
      <c r="I65" s="1075"/>
      <c r="J65" s="1075"/>
      <c r="K65" s="1106">
        <f t="shared" ref="K65:AE65" si="27">SUM(K59:K64)</f>
        <v>236.298</v>
      </c>
      <c r="L65" s="1107">
        <f t="shared" si="27"/>
        <v>290.61699999999996</v>
      </c>
      <c r="M65" s="1107">
        <f t="shared" si="27"/>
        <v>345.19199999999995</v>
      </c>
      <c r="N65" s="1107">
        <f t="shared" si="27"/>
        <v>397.7419999999999</v>
      </c>
      <c r="O65" s="1107">
        <f t="shared" si="27"/>
        <v>487.87999999999994</v>
      </c>
      <c r="P65" s="1106">
        <f t="shared" si="27"/>
        <v>487.88</v>
      </c>
      <c r="Q65" s="1107">
        <f t="shared" si="27"/>
        <v>606.22099999999989</v>
      </c>
      <c r="R65" s="1107">
        <f t="shared" si="27"/>
        <v>793.17699999999991</v>
      </c>
      <c r="S65" s="1107">
        <f t="shared" si="27"/>
        <v>1038.31</v>
      </c>
      <c r="T65" s="1107">
        <f t="shared" si="27"/>
        <v>1430.5719999999999</v>
      </c>
      <c r="U65" s="1106">
        <f t="shared" si="27"/>
        <v>1430.5729999999999</v>
      </c>
      <c r="V65" s="1107">
        <f t="shared" si="27"/>
        <v>1775.498</v>
      </c>
      <c r="W65" s="1108">
        <f t="shared" si="27"/>
        <v>2007.347</v>
      </c>
      <c r="X65" s="1108">
        <f t="shared" si="27"/>
        <v>2260.1229999999996</v>
      </c>
      <c r="Y65" s="1107">
        <f t="shared" si="27"/>
        <v>2389.9269999999992</v>
      </c>
      <c r="Z65" s="1106">
        <f t="shared" si="27"/>
        <v>2389.9270000000001</v>
      </c>
      <c r="AA65" s="1107">
        <f t="shared" si="27"/>
        <v>2692.5930000000003</v>
      </c>
      <c r="AB65" s="1108">
        <f t="shared" si="27"/>
        <v>2715.9599999999996</v>
      </c>
      <c r="AC65" s="1108">
        <f t="shared" si="27"/>
        <v>2953.556</v>
      </c>
      <c r="AD65" s="1107">
        <f t="shared" si="27"/>
        <v>3216.4440000000004</v>
      </c>
      <c r="AE65" s="1106">
        <f t="shared" si="27"/>
        <v>3096.5550000000003</v>
      </c>
      <c r="AF65" s="1075"/>
      <c r="AG65" s="1075"/>
      <c r="AH65" s="1075"/>
      <c r="AI65" s="1075"/>
      <c r="AJ65" s="1105"/>
      <c r="AK65" s="1075"/>
      <c r="AL65" s="1075"/>
      <c r="AM65" s="1075"/>
      <c r="AN65" s="1075"/>
      <c r="AO65" s="1105"/>
      <c r="AP65" s="1075"/>
      <c r="AQ65" s="1075"/>
      <c r="AR65" s="1075"/>
      <c r="AS65" s="1075"/>
      <c r="AT65" s="1105"/>
      <c r="AU65" s="1075"/>
      <c r="AV65" s="1075"/>
      <c r="AW65" s="1076"/>
      <c r="AX65" s="1075"/>
      <c r="AY65" s="1105"/>
      <c r="AZ65" s="1075"/>
      <c r="BA65" s="1075"/>
      <c r="BB65" s="1075"/>
      <c r="BC65" s="1075"/>
      <c r="BD65" s="1105"/>
      <c r="BE65" s="1105"/>
      <c r="BF65" s="1105"/>
      <c r="BG65" s="1105"/>
      <c r="BH65" s="1034"/>
    </row>
    <row r="66" spans="1:60" s="116" customFormat="1" ht="15" hidden="1" outlineLevel="1" x14ac:dyDescent="0.25">
      <c r="A66" s="645"/>
      <c r="B66" s="531"/>
      <c r="C66" s="438"/>
      <c r="D66" s="438"/>
      <c r="E66" s="438"/>
      <c r="F66" s="438"/>
      <c r="G66" s="437"/>
      <c r="H66" s="437"/>
      <c r="I66" s="437"/>
      <c r="J66" s="437"/>
      <c r="K66" s="438"/>
      <c r="L66" s="437"/>
      <c r="M66" s="437"/>
      <c r="N66" s="437"/>
      <c r="O66" s="437"/>
      <c r="P66" s="438"/>
      <c r="Q66" s="437"/>
      <c r="R66" s="437"/>
      <c r="S66" s="437"/>
      <c r="T66" s="437"/>
      <c r="U66" s="438"/>
      <c r="V66" s="437"/>
      <c r="W66" s="437"/>
      <c r="X66" s="437"/>
      <c r="Y66" s="437"/>
      <c r="Z66" s="438"/>
      <c r="AA66" s="437"/>
      <c r="AB66" s="437"/>
      <c r="AC66" s="437"/>
      <c r="AD66" s="437"/>
      <c r="AE66" s="438"/>
      <c r="AF66" s="437"/>
      <c r="AG66" s="437"/>
      <c r="AH66" s="437"/>
      <c r="AI66" s="437"/>
      <c r="AJ66" s="438"/>
      <c r="AK66" s="437"/>
      <c r="AL66" s="437"/>
      <c r="AM66" s="437"/>
      <c r="AN66" s="437"/>
      <c r="AO66" s="438"/>
      <c r="AP66" s="437"/>
      <c r="AQ66" s="437"/>
      <c r="AR66" s="437"/>
      <c r="AS66" s="437"/>
      <c r="AT66" s="438"/>
      <c r="AU66" s="437"/>
      <c r="AV66" s="437"/>
      <c r="AW66" s="725"/>
      <c r="AX66" s="437"/>
      <c r="AY66" s="438"/>
      <c r="AZ66" s="437"/>
      <c r="BA66" s="437"/>
      <c r="BB66" s="437"/>
      <c r="BC66" s="437"/>
      <c r="BD66" s="438"/>
      <c r="BE66" s="438"/>
      <c r="BF66" s="438"/>
      <c r="BG66" s="438"/>
      <c r="BH66" s="368"/>
    </row>
    <row r="67" spans="1:60" s="112" customFormat="1" ht="15" hidden="1" outlineLevel="1" x14ac:dyDescent="0.25">
      <c r="A67" s="1020" t="s">
        <v>49</v>
      </c>
      <c r="B67" s="1020"/>
      <c r="C67" s="1043"/>
      <c r="D67" s="1043"/>
      <c r="E67" s="1043"/>
      <c r="F67" s="1043"/>
      <c r="G67" s="1043"/>
      <c r="H67" s="1043"/>
      <c r="I67" s="1043"/>
      <c r="J67" s="1043"/>
      <c r="K67" s="1043"/>
      <c r="L67" s="1043"/>
      <c r="M67" s="1043"/>
      <c r="N67" s="1043"/>
      <c r="O67" s="1043"/>
      <c r="P67" s="1043"/>
      <c r="Q67" s="1043"/>
      <c r="R67" s="1043"/>
      <c r="S67" s="1043"/>
      <c r="T67" s="1043"/>
      <c r="U67" s="1043"/>
      <c r="V67" s="1043"/>
      <c r="W67" s="1043"/>
      <c r="X67" s="1043"/>
      <c r="Y67" s="1043"/>
      <c r="Z67" s="1043"/>
      <c r="AA67" s="1043"/>
      <c r="AB67" s="1043"/>
      <c r="AC67" s="1043"/>
      <c r="AD67" s="1043"/>
      <c r="AE67" s="1043"/>
      <c r="AF67" s="1043"/>
      <c r="AG67" s="1043"/>
      <c r="AH67" s="1043"/>
      <c r="AI67" s="1043"/>
      <c r="AJ67" s="1043"/>
      <c r="AK67" s="1043"/>
      <c r="AL67" s="1043"/>
      <c r="AM67" s="1043"/>
      <c r="AN67" s="1043"/>
      <c r="AO67" s="1043"/>
      <c r="AP67" s="1043"/>
      <c r="AQ67" s="1043"/>
      <c r="AR67" s="1043"/>
      <c r="AS67" s="1043"/>
      <c r="AT67" s="1043"/>
      <c r="AU67" s="1043"/>
      <c r="AV67" s="1043"/>
      <c r="AW67" s="1044"/>
      <c r="AX67" s="1043"/>
      <c r="AY67" s="1043"/>
      <c r="AZ67" s="1043"/>
      <c r="BA67" s="1043"/>
      <c r="BB67" s="1043"/>
      <c r="BC67" s="1043"/>
      <c r="BD67" s="1043"/>
      <c r="BE67" s="1043"/>
      <c r="BF67" s="1043"/>
      <c r="BG67" s="1043"/>
      <c r="BH67" s="1034"/>
    </row>
    <row r="68" spans="1:60" s="356" customFormat="1" ht="15" hidden="1" outlineLevel="1" x14ac:dyDescent="0.25">
      <c r="A68" s="292" t="s">
        <v>50</v>
      </c>
      <c r="B68" s="450"/>
      <c r="C68" s="440"/>
      <c r="D68" s="440"/>
      <c r="E68" s="440"/>
      <c r="F68" s="440"/>
      <c r="G68" s="439"/>
      <c r="H68" s="439"/>
      <c r="I68" s="439"/>
      <c r="J68" s="439"/>
      <c r="K68" s="440"/>
      <c r="L68" s="439"/>
      <c r="M68" s="361">
        <v>158</v>
      </c>
      <c r="N68" s="361">
        <v>347</v>
      </c>
      <c r="O68" s="361">
        <v>647</v>
      </c>
      <c r="P68" s="35">
        <v>1152</v>
      </c>
      <c r="Q68" s="361">
        <v>592</v>
      </c>
      <c r="R68" s="361">
        <v>631</v>
      </c>
      <c r="S68" s="361">
        <v>495</v>
      </c>
      <c r="T68" s="361">
        <v>881</v>
      </c>
      <c r="U68" s="35">
        <v>2598</v>
      </c>
      <c r="V68" s="361">
        <v>1405</v>
      </c>
      <c r="W68" s="36">
        <v>1132</v>
      </c>
      <c r="X68" s="36">
        <v>2934</v>
      </c>
      <c r="Y68" s="439"/>
      <c r="Z68" s="440"/>
      <c r="AA68" s="439"/>
      <c r="AB68" s="439"/>
      <c r="AC68" s="439"/>
      <c r="AD68" s="439"/>
      <c r="AE68" s="440"/>
      <c r="AF68" s="439"/>
      <c r="AG68" s="439"/>
      <c r="AH68" s="439"/>
      <c r="AI68" s="439"/>
      <c r="AJ68" s="440"/>
      <c r="AK68" s="439"/>
      <c r="AL68" s="439"/>
      <c r="AM68" s="439"/>
      <c r="AN68" s="439"/>
      <c r="AO68" s="440"/>
      <c r="AP68" s="439"/>
      <c r="AQ68" s="439"/>
      <c r="AR68" s="439"/>
      <c r="AS68" s="439"/>
      <c r="AT68" s="440"/>
      <c r="AU68" s="439"/>
      <c r="AV68" s="439"/>
      <c r="AW68" s="726"/>
      <c r="AX68" s="439"/>
      <c r="AY68" s="440"/>
      <c r="AZ68" s="439"/>
      <c r="BA68" s="439"/>
      <c r="BB68" s="439"/>
      <c r="BC68" s="439"/>
      <c r="BD68" s="440"/>
      <c r="BE68" s="440"/>
      <c r="BF68" s="440"/>
      <c r="BG68" s="440"/>
      <c r="BH68" s="361"/>
    </row>
    <row r="69" spans="1:60" s="118" customFormat="1" ht="15" hidden="1" outlineLevel="1" x14ac:dyDescent="0.25">
      <c r="A69" s="293" t="s">
        <v>51</v>
      </c>
      <c r="B69" s="646"/>
      <c r="C69" s="699"/>
      <c r="D69" s="699"/>
      <c r="E69" s="699"/>
      <c r="F69" s="699"/>
      <c r="G69" s="647"/>
      <c r="H69" s="647"/>
      <c r="I69" s="647"/>
      <c r="J69" s="647"/>
      <c r="K69" s="699"/>
      <c r="L69" s="647"/>
      <c r="M69" s="369">
        <v>102</v>
      </c>
      <c r="N69" s="369">
        <v>99</v>
      </c>
      <c r="O69" s="369">
        <v>101</v>
      </c>
      <c r="P69" s="784">
        <v>101</v>
      </c>
      <c r="Q69" s="369">
        <v>107</v>
      </c>
      <c r="R69" s="369">
        <v>100</v>
      </c>
      <c r="S69" s="369">
        <v>91</v>
      </c>
      <c r="T69" s="369">
        <v>97</v>
      </c>
      <c r="U69" s="784">
        <v>99</v>
      </c>
      <c r="V69" s="369">
        <v>106</v>
      </c>
      <c r="W69" s="780">
        <v>103</v>
      </c>
      <c r="X69" s="780">
        <v>99</v>
      </c>
      <c r="Y69" s="369">
        <v>97</v>
      </c>
      <c r="Z69" s="699"/>
      <c r="AA69" s="369">
        <v>100</v>
      </c>
      <c r="AB69" s="780">
        <v>100</v>
      </c>
      <c r="AC69" s="647"/>
      <c r="AD69" s="647"/>
      <c r="AE69" s="699"/>
      <c r="AF69" s="647"/>
      <c r="AG69" s="647"/>
      <c r="AH69" s="647"/>
      <c r="AI69" s="647"/>
      <c r="AJ69" s="699"/>
      <c r="AK69" s="647"/>
      <c r="AL69" s="647"/>
      <c r="AM69" s="647"/>
      <c r="AN69" s="647"/>
      <c r="AO69" s="699"/>
      <c r="AP69" s="647"/>
      <c r="AQ69" s="647"/>
      <c r="AR69" s="647"/>
      <c r="AS69" s="647"/>
      <c r="AT69" s="699"/>
      <c r="AU69" s="647"/>
      <c r="AV69" s="647"/>
      <c r="AW69" s="730"/>
      <c r="AX69" s="647"/>
      <c r="AY69" s="699"/>
      <c r="AZ69" s="647"/>
      <c r="BA69" s="647"/>
      <c r="BB69" s="647"/>
      <c r="BC69" s="647"/>
      <c r="BD69" s="699"/>
      <c r="BE69" s="699"/>
      <c r="BF69" s="699"/>
      <c r="BG69" s="699"/>
      <c r="BH69" s="369"/>
    </row>
    <row r="70" spans="1:60" s="112" customFormat="1" ht="15" hidden="1" outlineLevel="1" x14ac:dyDescent="0.25">
      <c r="A70" s="91" t="s">
        <v>52</v>
      </c>
      <c r="B70" s="623"/>
      <c r="C70" s="1105"/>
      <c r="D70" s="1105"/>
      <c r="E70" s="1105"/>
      <c r="F70" s="1105"/>
      <c r="G70" s="1075"/>
      <c r="H70" s="1075"/>
      <c r="I70" s="1075"/>
      <c r="J70" s="1075"/>
      <c r="K70" s="1105"/>
      <c r="L70" s="1075"/>
      <c r="M70" s="1107">
        <f t="shared" ref="M70:X70" si="28">M68*M69/1000</f>
        <v>16.116</v>
      </c>
      <c r="N70" s="1107">
        <f t="shared" si="28"/>
        <v>34.353000000000002</v>
      </c>
      <c r="O70" s="1107">
        <f t="shared" si="28"/>
        <v>65.346999999999994</v>
      </c>
      <c r="P70" s="1106">
        <f t="shared" si="28"/>
        <v>116.352</v>
      </c>
      <c r="Q70" s="1107">
        <f t="shared" si="28"/>
        <v>63.344000000000001</v>
      </c>
      <c r="R70" s="1107">
        <f t="shared" si="28"/>
        <v>63.1</v>
      </c>
      <c r="S70" s="1107">
        <f t="shared" si="28"/>
        <v>45.045000000000002</v>
      </c>
      <c r="T70" s="1107">
        <f t="shared" si="28"/>
        <v>85.456999999999994</v>
      </c>
      <c r="U70" s="1106">
        <f t="shared" si="28"/>
        <v>257.202</v>
      </c>
      <c r="V70" s="1107">
        <f t="shared" si="28"/>
        <v>148.93</v>
      </c>
      <c r="W70" s="1108">
        <f t="shared" si="28"/>
        <v>116.596</v>
      </c>
      <c r="X70" s="1108">
        <f t="shared" si="28"/>
        <v>290.46600000000001</v>
      </c>
      <c r="Y70" s="1075"/>
      <c r="Z70" s="1105"/>
      <c r="AA70" s="1075"/>
      <c r="AB70" s="1075"/>
      <c r="AC70" s="1075"/>
      <c r="AD70" s="1075"/>
      <c r="AE70" s="1105"/>
      <c r="AF70" s="1075"/>
      <c r="AG70" s="1075"/>
      <c r="AH70" s="1075"/>
      <c r="AI70" s="1075"/>
      <c r="AJ70" s="1105"/>
      <c r="AK70" s="1075"/>
      <c r="AL70" s="1075"/>
      <c r="AM70" s="1075"/>
      <c r="AN70" s="1075"/>
      <c r="AO70" s="1105"/>
      <c r="AP70" s="1075"/>
      <c r="AQ70" s="1075"/>
      <c r="AR70" s="1075"/>
      <c r="AS70" s="1075"/>
      <c r="AT70" s="1105"/>
      <c r="AU70" s="1075"/>
      <c r="AV70" s="1075"/>
      <c r="AW70" s="1076"/>
      <c r="AX70" s="1075"/>
      <c r="AY70" s="1105"/>
      <c r="AZ70" s="1075"/>
      <c r="BA70" s="1075"/>
      <c r="BB70" s="1075"/>
      <c r="BC70" s="1075"/>
      <c r="BD70" s="1105"/>
      <c r="BE70" s="1105"/>
      <c r="BF70" s="1105"/>
      <c r="BG70" s="1105"/>
      <c r="BH70" s="1034"/>
    </row>
    <row r="71" spans="1:60" s="120" customFormat="1" ht="15" hidden="1" outlineLevel="1" x14ac:dyDescent="0.25">
      <c r="A71" s="94" t="s">
        <v>53</v>
      </c>
      <c r="B71" s="235"/>
      <c r="C71" s="98"/>
      <c r="D71" s="98"/>
      <c r="E71" s="98"/>
      <c r="F71" s="98"/>
      <c r="G71" s="160"/>
      <c r="H71" s="160"/>
      <c r="I71" s="160"/>
      <c r="J71" s="160"/>
      <c r="K71" s="98"/>
      <c r="L71" s="160"/>
      <c r="M71" s="160"/>
      <c r="N71" s="160"/>
      <c r="O71" s="160"/>
      <c r="P71" s="98"/>
      <c r="Q71" s="160"/>
      <c r="R71" s="96">
        <f t="shared" ref="R71:X71" si="29">R68/M68-1</f>
        <v>2.9936708860759493</v>
      </c>
      <c r="S71" s="96">
        <f t="shared" si="29"/>
        <v>0.42651296829971175</v>
      </c>
      <c r="T71" s="96">
        <f t="shared" si="29"/>
        <v>0.3616692426584236</v>
      </c>
      <c r="U71" s="95">
        <f t="shared" si="29"/>
        <v>1.2552083333333335</v>
      </c>
      <c r="V71" s="96">
        <f t="shared" si="29"/>
        <v>1.373310810810811</v>
      </c>
      <c r="W71" s="97">
        <f t="shared" si="29"/>
        <v>0.79397781299524572</v>
      </c>
      <c r="X71" s="97">
        <f t="shared" si="29"/>
        <v>4.9272727272727277</v>
      </c>
      <c r="Y71" s="160"/>
      <c r="Z71" s="98"/>
      <c r="AA71" s="160"/>
      <c r="AB71" s="160"/>
      <c r="AC71" s="160"/>
      <c r="AD71" s="160"/>
      <c r="AE71" s="98"/>
      <c r="AF71" s="160"/>
      <c r="AG71" s="160"/>
      <c r="AH71" s="160"/>
      <c r="AI71" s="160"/>
      <c r="AJ71" s="98"/>
      <c r="AK71" s="160"/>
      <c r="AL71" s="160"/>
      <c r="AM71" s="160"/>
      <c r="AN71" s="160"/>
      <c r="AO71" s="98"/>
      <c r="AP71" s="160"/>
      <c r="AQ71" s="160"/>
      <c r="AR71" s="160"/>
      <c r="AS71" s="160"/>
      <c r="AT71" s="98"/>
      <c r="AU71" s="160"/>
      <c r="AV71" s="160"/>
      <c r="AW71" s="731"/>
      <c r="AX71" s="160"/>
      <c r="AY71" s="98"/>
      <c r="AZ71" s="160"/>
      <c r="BA71" s="160"/>
      <c r="BB71" s="160"/>
      <c r="BC71" s="160"/>
      <c r="BD71" s="98"/>
      <c r="BE71" s="98"/>
      <c r="BF71" s="98"/>
      <c r="BG71" s="98"/>
      <c r="BH71" s="366"/>
    </row>
    <row r="72" spans="1:60" s="120" customFormat="1" ht="15" hidden="1" outlineLevel="1" x14ac:dyDescent="0.25">
      <c r="A72" s="94" t="s">
        <v>54</v>
      </c>
      <c r="B72" s="235"/>
      <c r="C72" s="98"/>
      <c r="D72" s="98"/>
      <c r="E72" s="98"/>
      <c r="F72" s="98"/>
      <c r="G72" s="160"/>
      <c r="H72" s="160"/>
      <c r="I72" s="160"/>
      <c r="J72" s="160"/>
      <c r="K72" s="98"/>
      <c r="L72" s="160"/>
      <c r="M72" s="160"/>
      <c r="N72" s="160"/>
      <c r="O72" s="160"/>
      <c r="P72" s="98"/>
      <c r="Q72" s="160"/>
      <c r="R72" s="160"/>
      <c r="S72" s="160"/>
      <c r="T72" s="160"/>
      <c r="U72" s="98"/>
      <c r="V72" s="160"/>
      <c r="W72" s="160"/>
      <c r="X72" s="160"/>
      <c r="Y72" s="96">
        <v>0.2</v>
      </c>
      <c r="Z72" s="98"/>
      <c r="AA72" s="96">
        <v>1.07</v>
      </c>
      <c r="AB72" s="97">
        <v>0.44</v>
      </c>
      <c r="AC72" s="97">
        <v>0.41</v>
      </c>
      <c r="AD72" s="160"/>
      <c r="AE72" s="98"/>
      <c r="AF72" s="160"/>
      <c r="AG72" s="160"/>
      <c r="AH72" s="160"/>
      <c r="AI72" s="160"/>
      <c r="AJ72" s="98"/>
      <c r="AK72" s="160"/>
      <c r="AL72" s="160"/>
      <c r="AM72" s="160"/>
      <c r="AN72" s="160"/>
      <c r="AO72" s="98"/>
      <c r="AP72" s="160"/>
      <c r="AQ72" s="160"/>
      <c r="AR72" s="160"/>
      <c r="AS72" s="160"/>
      <c r="AT72" s="98"/>
      <c r="AU72" s="160"/>
      <c r="AV72" s="160"/>
      <c r="AW72" s="731"/>
      <c r="AX72" s="160"/>
      <c r="AY72" s="98"/>
      <c r="AZ72" s="160"/>
      <c r="BA72" s="160"/>
      <c r="BB72" s="160"/>
      <c r="BC72" s="160"/>
      <c r="BD72" s="98"/>
      <c r="BE72" s="98"/>
      <c r="BF72" s="98"/>
      <c r="BG72" s="98"/>
      <c r="BH72" s="366"/>
    </row>
    <row r="73" spans="1:60" s="116" customFormat="1" ht="15" hidden="1" outlineLevel="1" x14ac:dyDescent="0.25">
      <c r="A73" s="648"/>
      <c r="B73" s="531"/>
      <c r="C73" s="438"/>
      <c r="D73" s="438"/>
      <c r="E73" s="438"/>
      <c r="F73" s="438"/>
      <c r="G73" s="437"/>
      <c r="H73" s="437"/>
      <c r="I73" s="437"/>
      <c r="J73" s="437"/>
      <c r="K73" s="438"/>
      <c r="L73" s="437"/>
      <c r="M73" s="437"/>
      <c r="N73" s="437"/>
      <c r="O73" s="437"/>
      <c r="P73" s="438"/>
      <c r="Q73" s="437"/>
      <c r="R73" s="437"/>
      <c r="S73" s="437"/>
      <c r="T73" s="437"/>
      <c r="U73" s="438"/>
      <c r="V73" s="437"/>
      <c r="W73" s="437"/>
      <c r="X73" s="437"/>
      <c r="Y73" s="437"/>
      <c r="Z73" s="438"/>
      <c r="AA73" s="437"/>
      <c r="AB73" s="437"/>
      <c r="AC73" s="437"/>
      <c r="AD73" s="437"/>
      <c r="AE73" s="438"/>
      <c r="AF73" s="437"/>
      <c r="AG73" s="437"/>
      <c r="AH73" s="437"/>
      <c r="AI73" s="437"/>
      <c r="AJ73" s="438"/>
      <c r="AK73" s="437"/>
      <c r="AL73" s="437"/>
      <c r="AM73" s="437"/>
      <c r="AN73" s="437"/>
      <c r="AO73" s="438"/>
      <c r="AP73" s="437"/>
      <c r="AQ73" s="437"/>
      <c r="AR73" s="437"/>
      <c r="AS73" s="437"/>
      <c r="AT73" s="438"/>
      <c r="AU73" s="437"/>
      <c r="AV73" s="437"/>
      <c r="AW73" s="725"/>
      <c r="AX73" s="437"/>
      <c r="AY73" s="438"/>
      <c r="AZ73" s="437"/>
      <c r="BA73" s="437"/>
      <c r="BB73" s="437"/>
      <c r="BC73" s="437"/>
      <c r="BD73" s="438"/>
      <c r="BE73" s="438"/>
      <c r="BF73" s="438"/>
      <c r="BG73" s="438"/>
      <c r="BH73" s="368"/>
    </row>
    <row r="74" spans="1:60" s="112" customFormat="1" ht="15" hidden="1" outlineLevel="1" x14ac:dyDescent="0.25">
      <c r="A74" s="1020" t="s">
        <v>55</v>
      </c>
      <c r="B74" s="1020"/>
      <c r="C74" s="1043"/>
      <c r="D74" s="1043"/>
      <c r="E74" s="1043"/>
      <c r="F74" s="1043"/>
      <c r="G74" s="1043"/>
      <c r="H74" s="1043"/>
      <c r="I74" s="1043"/>
      <c r="J74" s="1043"/>
      <c r="K74" s="1043"/>
      <c r="L74" s="1043"/>
      <c r="M74" s="1043"/>
      <c r="N74" s="1043"/>
      <c r="O74" s="1043"/>
      <c r="P74" s="1043"/>
      <c r="Q74" s="1043"/>
      <c r="R74" s="1043"/>
      <c r="S74" s="1043"/>
      <c r="T74" s="1043"/>
      <c r="U74" s="1043"/>
      <c r="V74" s="1043"/>
      <c r="W74" s="1043"/>
      <c r="X74" s="1043"/>
      <c r="Y74" s="1043"/>
      <c r="Z74" s="1043"/>
      <c r="AA74" s="1043"/>
      <c r="AB74" s="1043"/>
      <c r="AC74" s="1043"/>
      <c r="AD74" s="1043"/>
      <c r="AE74" s="1043"/>
      <c r="AF74" s="1043"/>
      <c r="AG74" s="1043"/>
      <c r="AH74" s="1043"/>
      <c r="AI74" s="1043"/>
      <c r="AJ74" s="1043"/>
      <c r="AK74" s="1043"/>
      <c r="AL74" s="1043"/>
      <c r="AM74" s="1043"/>
      <c r="AN74" s="1043"/>
      <c r="AO74" s="1043"/>
      <c r="AP74" s="1043"/>
      <c r="AQ74" s="1043"/>
      <c r="AR74" s="1043"/>
      <c r="AS74" s="1043"/>
      <c r="AT74" s="1043"/>
      <c r="AU74" s="1043"/>
      <c r="AV74" s="1043"/>
      <c r="AW74" s="1044"/>
      <c r="AX74" s="1043"/>
      <c r="AY74" s="1043"/>
      <c r="AZ74" s="1043"/>
      <c r="BA74" s="1043"/>
      <c r="BB74" s="1043"/>
      <c r="BC74" s="1043"/>
      <c r="BD74" s="1043"/>
      <c r="BE74" s="1043"/>
      <c r="BF74" s="1043"/>
      <c r="BG74" s="1043"/>
      <c r="BH74" s="1034"/>
    </row>
    <row r="75" spans="1:60" s="112" customFormat="1" ht="15" hidden="1" outlineLevel="1" x14ac:dyDescent="0.25">
      <c r="A75" s="40" t="s">
        <v>56</v>
      </c>
      <c r="B75" s="507"/>
      <c r="C75" s="1045"/>
      <c r="D75" s="1045"/>
      <c r="E75" s="1096">
        <f t="shared" ref="E75:J75" si="30">D77</f>
        <v>10.779</v>
      </c>
      <c r="F75" s="1096">
        <f t="shared" si="30"/>
        <v>19.582000000000001</v>
      </c>
      <c r="G75" s="1097">
        <f t="shared" si="30"/>
        <v>48.418999999999997</v>
      </c>
      <c r="H75" s="1097">
        <f t="shared" si="30"/>
        <v>50.531999999999996</v>
      </c>
      <c r="I75" s="1097">
        <f t="shared" si="30"/>
        <v>47.079000000000001</v>
      </c>
      <c r="J75" s="1097">
        <f t="shared" si="30"/>
        <v>82.234999999999999</v>
      </c>
      <c r="K75" s="1096">
        <f>F77</f>
        <v>48.418999999999997</v>
      </c>
      <c r="L75" s="1097">
        <f>K77</f>
        <v>92.998000000000005</v>
      </c>
      <c r="M75" s="1097">
        <f>L77</f>
        <v>100.60899999999999</v>
      </c>
      <c r="N75" s="1097">
        <f>M77</f>
        <v>141.03399999999999</v>
      </c>
      <c r="O75" s="1097">
        <f>N77</f>
        <v>168.339</v>
      </c>
      <c r="P75" s="1096">
        <f>K77</f>
        <v>92.998000000000005</v>
      </c>
      <c r="Q75" s="1097">
        <f>P77</f>
        <v>189.65700000000001</v>
      </c>
      <c r="R75" s="1097">
        <f>Q77</f>
        <v>217.595</v>
      </c>
      <c r="S75" s="1097">
        <f>R77</f>
        <v>262.495</v>
      </c>
      <c r="T75" s="1097">
        <f>S77</f>
        <v>288.99200000000002</v>
      </c>
      <c r="U75" s="1096">
        <f>P77</f>
        <v>189.65700000000001</v>
      </c>
      <c r="V75" s="1097">
        <f>U77</f>
        <v>331.25599999999997</v>
      </c>
      <c r="W75" s="1098">
        <f>V77</f>
        <v>261.26799999999997</v>
      </c>
      <c r="X75" s="1098">
        <f>W77</f>
        <v>286.22699999999998</v>
      </c>
      <c r="Y75" s="1097">
        <f>X77</f>
        <v>305.93599999999998</v>
      </c>
      <c r="Z75" s="1096">
        <f>U77</f>
        <v>331.25599999999997</v>
      </c>
      <c r="AA75" s="1097">
        <f>Z77</f>
        <v>330.93599999999998</v>
      </c>
      <c r="AB75" s="1046"/>
      <c r="AC75" s="1046"/>
      <c r="AD75" s="1046"/>
      <c r="AE75" s="1045"/>
      <c r="AF75" s="1046"/>
      <c r="AG75" s="1046"/>
      <c r="AH75" s="1046"/>
      <c r="AI75" s="1046"/>
      <c r="AJ75" s="1045"/>
      <c r="AK75" s="1046"/>
      <c r="AL75" s="1046"/>
      <c r="AM75" s="1046"/>
      <c r="AN75" s="1046"/>
      <c r="AO75" s="1045"/>
      <c r="AP75" s="1046"/>
      <c r="AQ75" s="1046"/>
      <c r="AR75" s="1046"/>
      <c r="AS75" s="1046"/>
      <c r="AT75" s="1045"/>
      <c r="AU75" s="1046"/>
      <c r="AV75" s="1046"/>
      <c r="AW75" s="1047"/>
      <c r="AX75" s="1046"/>
      <c r="AY75" s="1045"/>
      <c r="AZ75" s="1046"/>
      <c r="BA75" s="1046"/>
      <c r="BB75" s="1046"/>
      <c r="BC75" s="1046"/>
      <c r="BD75" s="1045"/>
      <c r="BE75" s="1045"/>
      <c r="BF75" s="1045"/>
      <c r="BG75" s="1045"/>
      <c r="BH75" s="1034"/>
    </row>
    <row r="76" spans="1:60" s="109" customFormat="1" ht="15" hidden="1" outlineLevel="1" x14ac:dyDescent="0.25">
      <c r="A76" s="499" t="s">
        <v>57</v>
      </c>
      <c r="B76" s="214"/>
      <c r="C76" s="1051"/>
      <c r="D76" s="1051"/>
      <c r="E76" s="1066">
        <f t="shared" ref="E76:X76" si="31">E77-E75</f>
        <v>8.8030000000000008</v>
      </c>
      <c r="F76" s="1066">
        <f t="shared" si="31"/>
        <v>28.836999999999996</v>
      </c>
      <c r="G76" s="1067">
        <f t="shared" si="31"/>
        <v>2.1129999999999995</v>
      </c>
      <c r="H76" s="1067">
        <f t="shared" si="31"/>
        <v>-3.4529999999999959</v>
      </c>
      <c r="I76" s="1067">
        <f t="shared" si="31"/>
        <v>35.155999999999999</v>
      </c>
      <c r="J76" s="1067">
        <f t="shared" si="31"/>
        <v>10.763000000000005</v>
      </c>
      <c r="K76" s="1066">
        <f t="shared" si="31"/>
        <v>44.579000000000008</v>
      </c>
      <c r="L76" s="1067">
        <f t="shared" si="31"/>
        <v>7.61099999999999</v>
      </c>
      <c r="M76" s="1067">
        <f t="shared" si="31"/>
        <v>40.424999999999997</v>
      </c>
      <c r="N76" s="1067">
        <f t="shared" si="31"/>
        <v>27.305000000000007</v>
      </c>
      <c r="O76" s="1067">
        <f t="shared" si="31"/>
        <v>21.318000000000012</v>
      </c>
      <c r="P76" s="1066">
        <f t="shared" si="31"/>
        <v>96.659000000000006</v>
      </c>
      <c r="Q76" s="1067">
        <f t="shared" si="31"/>
        <v>27.937999999999988</v>
      </c>
      <c r="R76" s="1067">
        <f t="shared" si="31"/>
        <v>44.900000000000006</v>
      </c>
      <c r="S76" s="1067">
        <f t="shared" si="31"/>
        <v>26.497000000000014</v>
      </c>
      <c r="T76" s="1067">
        <f t="shared" si="31"/>
        <v>42.263999999999953</v>
      </c>
      <c r="U76" s="1066">
        <f t="shared" si="31"/>
        <v>141.59899999999996</v>
      </c>
      <c r="V76" s="1067">
        <f t="shared" si="31"/>
        <v>-69.988</v>
      </c>
      <c r="W76" s="1068">
        <f t="shared" si="31"/>
        <v>24.959000000000003</v>
      </c>
      <c r="X76" s="1068">
        <f t="shared" si="31"/>
        <v>19.709000000000003</v>
      </c>
      <c r="Y76" s="1067">
        <v>25</v>
      </c>
      <c r="Z76" s="1066">
        <f>SUM(V76,W76,X76,Y76)</f>
        <v>-0.31999999999999318</v>
      </c>
      <c r="AA76" s="1067">
        <v>25</v>
      </c>
      <c r="AB76" s="1052"/>
      <c r="AC76" s="1052"/>
      <c r="AD76" s="1052"/>
      <c r="AE76" s="1051"/>
      <c r="AF76" s="1052"/>
      <c r="AG76" s="1052"/>
      <c r="AH76" s="1052"/>
      <c r="AI76" s="1052"/>
      <c r="AJ76" s="1051"/>
      <c r="AK76" s="1052"/>
      <c r="AL76" s="1052"/>
      <c r="AM76" s="1052"/>
      <c r="AN76" s="1052"/>
      <c r="AO76" s="1051"/>
      <c r="AP76" s="1052"/>
      <c r="AQ76" s="1052"/>
      <c r="AR76" s="1052"/>
      <c r="AS76" s="1052"/>
      <c r="AT76" s="1051"/>
      <c r="AU76" s="1052"/>
      <c r="AV76" s="1052"/>
      <c r="AW76" s="1053"/>
      <c r="AX76" s="1052"/>
      <c r="AY76" s="1051"/>
      <c r="AZ76" s="1052"/>
      <c r="BA76" s="1052"/>
      <c r="BB76" s="1052"/>
      <c r="BC76" s="1052"/>
      <c r="BD76" s="1051"/>
      <c r="BE76" s="1051"/>
      <c r="BF76" s="1051"/>
      <c r="BG76" s="1051"/>
      <c r="BH76" s="1024"/>
    </row>
    <row r="77" spans="1:60" s="112" customFormat="1" ht="15" hidden="1" outlineLevel="1" x14ac:dyDescent="0.25">
      <c r="A77" s="91" t="s">
        <v>58</v>
      </c>
      <c r="B77" s="623"/>
      <c r="C77" s="1105"/>
      <c r="D77" s="1106">
        <v>10.779</v>
      </c>
      <c r="E77" s="1106">
        <v>19.582000000000001</v>
      </c>
      <c r="F77" s="1106">
        <v>48.418999999999997</v>
      </c>
      <c r="G77" s="1107">
        <v>50.531999999999996</v>
      </c>
      <c r="H77" s="1107">
        <v>47.079000000000001</v>
      </c>
      <c r="I77" s="1107">
        <v>82.234999999999999</v>
      </c>
      <c r="J77" s="1107">
        <f>K77</f>
        <v>92.998000000000005</v>
      </c>
      <c r="K77" s="1106">
        <v>92.998000000000005</v>
      </c>
      <c r="L77" s="1107">
        <v>100.60899999999999</v>
      </c>
      <c r="M77" s="1107">
        <v>141.03399999999999</v>
      </c>
      <c r="N77" s="1107">
        <v>168.339</v>
      </c>
      <c r="O77" s="1107">
        <f>P77</f>
        <v>189.65700000000001</v>
      </c>
      <c r="P77" s="1106">
        <v>189.65700000000001</v>
      </c>
      <c r="Q77" s="1107">
        <v>217.595</v>
      </c>
      <c r="R77" s="1107">
        <v>262.495</v>
      </c>
      <c r="S77" s="1107">
        <v>288.99200000000002</v>
      </c>
      <c r="T77" s="1107">
        <f>U77</f>
        <v>331.25599999999997</v>
      </c>
      <c r="U77" s="1106">
        <v>331.25599999999997</v>
      </c>
      <c r="V77" s="1107">
        <v>261.26799999999997</v>
      </c>
      <c r="W77" s="1108">
        <v>286.22699999999998</v>
      </c>
      <c r="X77" s="1108">
        <v>305.93599999999998</v>
      </c>
      <c r="Y77" s="1107">
        <f>Y75+Y76</f>
        <v>330.93599999999998</v>
      </c>
      <c r="Z77" s="1106">
        <f>Z75+Z76</f>
        <v>330.93599999999998</v>
      </c>
      <c r="AA77" s="1107">
        <f>AA75+AA76</f>
        <v>355.93599999999998</v>
      </c>
      <c r="AB77" s="1075"/>
      <c r="AC77" s="1075"/>
      <c r="AD77" s="1075"/>
      <c r="AE77" s="1105"/>
      <c r="AF77" s="1075"/>
      <c r="AG77" s="1075"/>
      <c r="AH77" s="1075"/>
      <c r="AI77" s="1075"/>
      <c r="AJ77" s="1105"/>
      <c r="AK77" s="1075"/>
      <c r="AL77" s="1075"/>
      <c r="AM77" s="1075"/>
      <c r="AN77" s="1075"/>
      <c r="AO77" s="1105"/>
      <c r="AP77" s="1075"/>
      <c r="AQ77" s="1075"/>
      <c r="AR77" s="1075"/>
      <c r="AS77" s="1075"/>
      <c r="AT77" s="1105"/>
      <c r="AU77" s="1075"/>
      <c r="AV77" s="1075"/>
      <c r="AW77" s="1076"/>
      <c r="AX77" s="1075"/>
      <c r="AY77" s="1105"/>
      <c r="AZ77" s="1075"/>
      <c r="BA77" s="1075"/>
      <c r="BB77" s="1075"/>
      <c r="BC77" s="1075"/>
      <c r="BD77" s="1105"/>
      <c r="BE77" s="1105"/>
      <c r="BF77" s="1105"/>
      <c r="BG77" s="1105"/>
      <c r="BH77" s="1034"/>
    </row>
    <row r="78" spans="1:60" s="112" customFormat="1" ht="15" hidden="1" outlineLevel="1" x14ac:dyDescent="0.25">
      <c r="A78" s="40" t="s">
        <v>59</v>
      </c>
      <c r="B78" s="507"/>
      <c r="C78" s="1045"/>
      <c r="D78" s="1045"/>
      <c r="E78" s="1096">
        <f t="shared" ref="E78:AA78" si="32">AVERAGE(E75,E77)</f>
        <v>15.1805</v>
      </c>
      <c r="F78" s="1096">
        <f t="shared" si="32"/>
        <v>34.000500000000002</v>
      </c>
      <c r="G78" s="1097">
        <f t="shared" si="32"/>
        <v>49.475499999999997</v>
      </c>
      <c r="H78" s="1097">
        <f t="shared" si="32"/>
        <v>48.805499999999995</v>
      </c>
      <c r="I78" s="1097">
        <f t="shared" si="32"/>
        <v>64.656999999999996</v>
      </c>
      <c r="J78" s="1097">
        <f t="shared" si="32"/>
        <v>87.616500000000002</v>
      </c>
      <c r="K78" s="1096">
        <f t="shared" si="32"/>
        <v>70.708500000000001</v>
      </c>
      <c r="L78" s="1097">
        <f t="shared" si="32"/>
        <v>96.8035</v>
      </c>
      <c r="M78" s="1097">
        <f t="shared" si="32"/>
        <v>120.82149999999999</v>
      </c>
      <c r="N78" s="1097">
        <f t="shared" si="32"/>
        <v>154.6865</v>
      </c>
      <c r="O78" s="1097">
        <f t="shared" si="32"/>
        <v>178.99799999999999</v>
      </c>
      <c r="P78" s="1096">
        <f t="shared" si="32"/>
        <v>141.32750000000001</v>
      </c>
      <c r="Q78" s="1097">
        <f t="shared" si="32"/>
        <v>203.626</v>
      </c>
      <c r="R78" s="1097">
        <f t="shared" si="32"/>
        <v>240.04500000000002</v>
      </c>
      <c r="S78" s="1097">
        <f t="shared" si="32"/>
        <v>275.74350000000004</v>
      </c>
      <c r="T78" s="1097">
        <f t="shared" si="32"/>
        <v>310.12400000000002</v>
      </c>
      <c r="U78" s="1096">
        <f t="shared" si="32"/>
        <v>260.45650000000001</v>
      </c>
      <c r="V78" s="1097">
        <f t="shared" si="32"/>
        <v>296.26199999999994</v>
      </c>
      <c r="W78" s="1098">
        <f t="shared" si="32"/>
        <v>273.74749999999995</v>
      </c>
      <c r="X78" s="1098">
        <f t="shared" si="32"/>
        <v>296.08150000000001</v>
      </c>
      <c r="Y78" s="1097">
        <f t="shared" si="32"/>
        <v>318.43599999999998</v>
      </c>
      <c r="Z78" s="1096">
        <f t="shared" si="32"/>
        <v>331.096</v>
      </c>
      <c r="AA78" s="1097">
        <f t="shared" si="32"/>
        <v>343.43599999999998</v>
      </c>
      <c r="AB78" s="1046"/>
      <c r="AC78" s="1046"/>
      <c r="AD78" s="1046"/>
      <c r="AE78" s="1045"/>
      <c r="AF78" s="1046"/>
      <c r="AG78" s="1046"/>
      <c r="AH78" s="1046"/>
      <c r="AI78" s="1046"/>
      <c r="AJ78" s="1045"/>
      <c r="AK78" s="1046"/>
      <c r="AL78" s="1046"/>
      <c r="AM78" s="1046"/>
      <c r="AN78" s="1046"/>
      <c r="AO78" s="1045"/>
      <c r="AP78" s="1046"/>
      <c r="AQ78" s="1046"/>
      <c r="AR78" s="1046"/>
      <c r="AS78" s="1046"/>
      <c r="AT78" s="1045"/>
      <c r="AU78" s="1046"/>
      <c r="AV78" s="1046"/>
      <c r="AW78" s="1047"/>
      <c r="AX78" s="1046"/>
      <c r="AY78" s="1045"/>
      <c r="AZ78" s="1046"/>
      <c r="BA78" s="1046"/>
      <c r="BB78" s="1046"/>
      <c r="BC78" s="1046"/>
      <c r="BD78" s="1045"/>
      <c r="BE78" s="1045"/>
      <c r="BF78" s="1045"/>
      <c r="BG78" s="1045"/>
      <c r="BH78" s="1034"/>
    </row>
    <row r="79" spans="1:60" s="109" customFormat="1" ht="15" hidden="1" outlineLevel="1" x14ac:dyDescent="0.25">
      <c r="A79" s="649"/>
      <c r="B79" s="214"/>
      <c r="C79" s="1051"/>
      <c r="D79" s="1051"/>
      <c r="E79" s="1051"/>
      <c r="F79" s="1051"/>
      <c r="G79" s="1052"/>
      <c r="H79" s="1052"/>
      <c r="I79" s="1052"/>
      <c r="J79" s="1052"/>
      <c r="K79" s="1051"/>
      <c r="L79" s="1052"/>
      <c r="M79" s="1052"/>
      <c r="N79" s="1052"/>
      <c r="O79" s="1052"/>
      <c r="P79" s="1051"/>
      <c r="Q79" s="1052"/>
      <c r="R79" s="1052"/>
      <c r="S79" s="1052"/>
      <c r="T79" s="1052"/>
      <c r="U79" s="1051"/>
      <c r="V79" s="1052"/>
      <c r="W79" s="1052"/>
      <c r="X79" s="1052"/>
      <c r="Y79" s="1052"/>
      <c r="Z79" s="1051"/>
      <c r="AA79" s="1052"/>
      <c r="AB79" s="1052"/>
      <c r="AC79" s="1052"/>
      <c r="AD79" s="1052"/>
      <c r="AE79" s="1051"/>
      <c r="AF79" s="1052"/>
      <c r="AG79" s="1052"/>
      <c r="AH79" s="1052"/>
      <c r="AI79" s="1052"/>
      <c r="AJ79" s="1051"/>
      <c r="AK79" s="1052"/>
      <c r="AL79" s="1052"/>
      <c r="AM79" s="1052"/>
      <c r="AN79" s="1052"/>
      <c r="AO79" s="1051"/>
      <c r="AP79" s="1052"/>
      <c r="AQ79" s="1052"/>
      <c r="AR79" s="1052"/>
      <c r="AS79" s="1052"/>
      <c r="AT79" s="1051"/>
      <c r="AU79" s="1052"/>
      <c r="AV79" s="1052"/>
      <c r="AW79" s="1053"/>
      <c r="AX79" s="1052"/>
      <c r="AY79" s="1051"/>
      <c r="AZ79" s="1052"/>
      <c r="BA79" s="1052"/>
      <c r="BB79" s="1052"/>
      <c r="BC79" s="1052"/>
      <c r="BD79" s="1051"/>
      <c r="BE79" s="1051"/>
      <c r="BF79" s="1051"/>
      <c r="BG79" s="1051"/>
      <c r="BH79" s="1024"/>
    </row>
    <row r="80" spans="1:60" s="111" customFormat="1" ht="15" hidden="1" outlineLevel="1" x14ac:dyDescent="0.25">
      <c r="A80" s="209" t="s">
        <v>60</v>
      </c>
      <c r="B80" s="650"/>
      <c r="C80" s="700"/>
      <c r="D80" s="700"/>
      <c r="E80" s="700"/>
      <c r="F80" s="700"/>
      <c r="G80" s="651"/>
      <c r="H80" s="651"/>
      <c r="I80" s="651"/>
      <c r="J80" s="651"/>
      <c r="K80" s="700"/>
      <c r="L80" s="651"/>
      <c r="M80" s="651"/>
      <c r="N80" s="651"/>
      <c r="O80" s="651"/>
      <c r="P80" s="700"/>
      <c r="Q80" s="651"/>
      <c r="R80" s="651"/>
      <c r="S80" s="651"/>
      <c r="T80" s="651"/>
      <c r="U80" s="700"/>
      <c r="V80" s="651"/>
      <c r="W80" s="651"/>
      <c r="X80" s="651"/>
      <c r="Y80" s="102">
        <f>Model!Y227/Y78</f>
        <v>0.41259468150585987</v>
      </c>
      <c r="Z80" s="101">
        <f>Model!Z227/Z78</f>
        <v>0.54785923115954283</v>
      </c>
      <c r="AA80" s="102">
        <v>0.7</v>
      </c>
      <c r="AB80" s="651"/>
      <c r="AC80" s="651"/>
      <c r="AD80" s="651"/>
      <c r="AE80" s="700"/>
      <c r="AF80" s="651"/>
      <c r="AG80" s="651"/>
      <c r="AH80" s="651"/>
      <c r="AI80" s="651"/>
      <c r="AJ80" s="700"/>
      <c r="AK80" s="651"/>
      <c r="AL80" s="651"/>
      <c r="AM80" s="651"/>
      <c r="AN80" s="651"/>
      <c r="AO80" s="700"/>
      <c r="AP80" s="651"/>
      <c r="AQ80" s="651"/>
      <c r="AR80" s="651"/>
      <c r="AS80" s="651"/>
      <c r="AT80" s="700"/>
      <c r="AU80" s="651"/>
      <c r="AV80" s="651"/>
      <c r="AW80" s="732"/>
      <c r="AX80" s="651"/>
      <c r="AY80" s="700"/>
      <c r="AZ80" s="651"/>
      <c r="BA80" s="651"/>
      <c r="BB80" s="651"/>
      <c r="BC80" s="651"/>
      <c r="BD80" s="700"/>
      <c r="BE80" s="700"/>
      <c r="BF80" s="700"/>
      <c r="BG80" s="700"/>
      <c r="BH80" s="102"/>
    </row>
    <row r="81" spans="1:60" s="109" customFormat="1" ht="15" hidden="1" outlineLevel="1" x14ac:dyDescent="0.25">
      <c r="A81" s="649"/>
      <c r="B81" s="214"/>
      <c r="C81" s="1051"/>
      <c r="D81" s="1051"/>
      <c r="E81" s="1051"/>
      <c r="F81" s="1051"/>
      <c r="G81" s="1052"/>
      <c r="H81" s="1052"/>
      <c r="I81" s="1052"/>
      <c r="J81" s="1052"/>
      <c r="K81" s="1051"/>
      <c r="L81" s="1052"/>
      <c r="M81" s="1052"/>
      <c r="N81" s="1052"/>
      <c r="O81" s="1052"/>
      <c r="P81" s="1051"/>
      <c r="Q81" s="1052"/>
      <c r="R81" s="1052"/>
      <c r="S81" s="1052"/>
      <c r="T81" s="1052"/>
      <c r="U81" s="1051"/>
      <c r="V81" s="1052"/>
      <c r="W81" s="1052"/>
      <c r="X81" s="1052"/>
      <c r="Y81" s="1052"/>
      <c r="Z81" s="1051"/>
      <c r="AA81" s="1052"/>
      <c r="AB81" s="1052"/>
      <c r="AC81" s="1052"/>
      <c r="AD81" s="1052"/>
      <c r="AE81" s="1051"/>
      <c r="AF81" s="1052"/>
      <c r="AG81" s="1052"/>
      <c r="AH81" s="1052"/>
      <c r="AI81" s="1052"/>
      <c r="AJ81" s="1051"/>
      <c r="AK81" s="1052"/>
      <c r="AL81" s="1052"/>
      <c r="AM81" s="1052"/>
      <c r="AN81" s="1052"/>
      <c r="AO81" s="1051"/>
      <c r="AP81" s="1052"/>
      <c r="AQ81" s="1052"/>
      <c r="AR81" s="1052"/>
      <c r="AS81" s="1052"/>
      <c r="AT81" s="1051"/>
      <c r="AU81" s="1052"/>
      <c r="AV81" s="1052"/>
      <c r="AW81" s="1053"/>
      <c r="AX81" s="1052"/>
      <c r="AY81" s="1051"/>
      <c r="AZ81" s="1052"/>
      <c r="BA81" s="1052"/>
      <c r="BB81" s="1052"/>
      <c r="BC81" s="1052"/>
      <c r="BD81" s="1051"/>
      <c r="BE81" s="1051"/>
      <c r="BF81" s="1051"/>
      <c r="BG81" s="1051"/>
      <c r="BH81" s="1024"/>
    </row>
    <row r="82" spans="1:60" s="109" customFormat="1" ht="15" hidden="1" outlineLevel="1" x14ac:dyDescent="0.25">
      <c r="A82" s="208" t="s">
        <v>61</v>
      </c>
      <c r="B82" s="214"/>
      <c r="C82" s="1051"/>
      <c r="D82" s="1066">
        <v>6.9969999999999999</v>
      </c>
      <c r="E82" s="1066">
        <v>14.129</v>
      </c>
      <c r="F82" s="1066">
        <v>40.685000000000002</v>
      </c>
      <c r="G82" s="1067">
        <v>46.843000000000004</v>
      </c>
      <c r="H82" s="1067">
        <v>54.65</v>
      </c>
      <c r="I82" s="1067">
        <v>72.506</v>
      </c>
      <c r="J82" s="1067">
        <f>K82</f>
        <v>83.265000000000001</v>
      </c>
      <c r="K82" s="1066">
        <v>83.265000000000001</v>
      </c>
      <c r="L82" s="1067">
        <v>100.60899999999999</v>
      </c>
      <c r="M82" s="1067">
        <v>128.93299999999999</v>
      </c>
      <c r="N82" s="1067">
        <v>150.04900000000001</v>
      </c>
      <c r="O82" s="1067">
        <f>P82</f>
        <v>177.45500000000001</v>
      </c>
      <c r="P82" s="1066">
        <v>177.45500000000001</v>
      </c>
      <c r="Q82" s="1067">
        <v>207.42599999999999</v>
      </c>
      <c r="R82" s="1067">
        <v>252.59100000000001</v>
      </c>
      <c r="S82" s="1067">
        <v>288.99200000000002</v>
      </c>
      <c r="T82" s="1067">
        <f>U82</f>
        <v>322.89699999999999</v>
      </c>
      <c r="U82" s="1066">
        <v>322.89699999999999</v>
      </c>
      <c r="V82" s="1052"/>
      <c r="W82" s="1052"/>
      <c r="X82" s="1052"/>
      <c r="Y82" s="1052"/>
      <c r="Z82" s="1051"/>
      <c r="AA82" s="1052"/>
      <c r="AB82" s="1052"/>
      <c r="AC82" s="1052"/>
      <c r="AD82" s="1052"/>
      <c r="AE82" s="1051"/>
      <c r="AF82" s="1052"/>
      <c r="AG82" s="1052"/>
      <c r="AH82" s="1052"/>
      <c r="AI82" s="1052"/>
      <c r="AJ82" s="1051"/>
      <c r="AK82" s="1052"/>
      <c r="AL82" s="1052"/>
      <c r="AM82" s="1052"/>
      <c r="AN82" s="1052"/>
      <c r="AO82" s="1051"/>
      <c r="AP82" s="1052"/>
      <c r="AQ82" s="1052"/>
      <c r="AR82" s="1052"/>
      <c r="AS82" s="1052"/>
      <c r="AT82" s="1051"/>
      <c r="AU82" s="1052"/>
      <c r="AV82" s="1052"/>
      <c r="AW82" s="1053"/>
      <c r="AX82" s="1052"/>
      <c r="AY82" s="1051"/>
      <c r="AZ82" s="1052"/>
      <c r="BA82" s="1052"/>
      <c r="BB82" s="1052"/>
      <c r="BC82" s="1052"/>
      <c r="BD82" s="1051"/>
      <c r="BE82" s="1051"/>
      <c r="BF82" s="1051"/>
      <c r="BG82" s="1051"/>
      <c r="BH82" s="1024"/>
    </row>
    <row r="83" spans="1:60" s="109" customFormat="1" ht="15" hidden="1" outlineLevel="1" x14ac:dyDescent="0.25">
      <c r="A83" s="208" t="s">
        <v>62</v>
      </c>
      <c r="B83" s="214"/>
      <c r="C83" s="1051"/>
      <c r="D83" s="1066">
        <v>58</v>
      </c>
      <c r="E83" s="1066">
        <v>130</v>
      </c>
      <c r="F83" s="1066">
        <v>287</v>
      </c>
      <c r="G83" s="1067">
        <v>333</v>
      </c>
      <c r="H83" s="1067">
        <v>387</v>
      </c>
      <c r="I83" s="1067">
        <v>387</v>
      </c>
      <c r="J83" s="1067">
        <f>K83</f>
        <v>567</v>
      </c>
      <c r="K83" s="1066">
        <v>567</v>
      </c>
      <c r="L83" s="1067">
        <v>649</v>
      </c>
      <c r="M83" s="1067">
        <v>756</v>
      </c>
      <c r="N83" s="1067">
        <v>894</v>
      </c>
      <c r="O83" s="1067">
        <f>P83</f>
        <v>1069</v>
      </c>
      <c r="P83" s="1066">
        <v>1069</v>
      </c>
      <c r="Q83" s="1067">
        <v>1212</v>
      </c>
      <c r="R83" s="1067">
        <v>756</v>
      </c>
      <c r="S83" s="1067">
        <v>1594</v>
      </c>
      <c r="T83" s="1067">
        <f>U83</f>
        <v>1847</v>
      </c>
      <c r="U83" s="1066">
        <v>1847</v>
      </c>
      <c r="V83" s="1067">
        <v>2092</v>
      </c>
      <c r="W83" s="1068">
        <v>2303</v>
      </c>
      <c r="X83" s="1068">
        <v>2492</v>
      </c>
      <c r="Y83" s="1052"/>
      <c r="Z83" s="1051"/>
      <c r="AA83" s="1052"/>
      <c r="AB83" s="1052"/>
      <c r="AC83" s="1052"/>
      <c r="AD83" s="1052"/>
      <c r="AE83" s="1051"/>
      <c r="AF83" s="1052"/>
      <c r="AG83" s="1052"/>
      <c r="AH83" s="1052"/>
      <c r="AI83" s="1052"/>
      <c r="AJ83" s="1051"/>
      <c r="AK83" s="1052"/>
      <c r="AL83" s="1052"/>
      <c r="AM83" s="1052"/>
      <c r="AN83" s="1052"/>
      <c r="AO83" s="1051"/>
      <c r="AP83" s="1052"/>
      <c r="AQ83" s="1052"/>
      <c r="AR83" s="1052"/>
      <c r="AS83" s="1052"/>
      <c r="AT83" s="1051"/>
      <c r="AU83" s="1052"/>
      <c r="AV83" s="1052"/>
      <c r="AW83" s="1053"/>
      <c r="AX83" s="1052"/>
      <c r="AY83" s="1051"/>
      <c r="AZ83" s="1052"/>
      <c r="BA83" s="1052"/>
      <c r="BB83" s="1052"/>
      <c r="BC83" s="1052"/>
      <c r="BD83" s="1051"/>
      <c r="BE83" s="1051"/>
      <c r="BF83" s="1051"/>
      <c r="BG83" s="1051"/>
      <c r="BH83" s="1024"/>
    </row>
    <row r="84" spans="1:60" s="109" customFormat="1" ht="15" hidden="1" outlineLevel="1" x14ac:dyDescent="0.25">
      <c r="A84" s="208" t="s">
        <v>63</v>
      </c>
      <c r="B84" s="214"/>
      <c r="C84" s="1051"/>
      <c r="D84" s="1066">
        <v>58</v>
      </c>
      <c r="E84" s="1066">
        <v>130</v>
      </c>
      <c r="F84" s="1066">
        <v>287</v>
      </c>
      <c r="G84" s="1052"/>
      <c r="H84" s="1052"/>
      <c r="I84" s="1052"/>
      <c r="J84" s="1067">
        <f>K84</f>
        <v>572</v>
      </c>
      <c r="K84" s="1066">
        <v>572</v>
      </c>
      <c r="L84" s="1067">
        <v>654</v>
      </c>
      <c r="M84" s="1067">
        <v>761</v>
      </c>
      <c r="N84" s="1067">
        <v>899</v>
      </c>
      <c r="O84" s="1067">
        <f>P84</f>
        <v>1075</v>
      </c>
      <c r="P84" s="1066">
        <v>1075</v>
      </c>
      <c r="Q84" s="1067">
        <v>1229</v>
      </c>
      <c r="R84" s="1067">
        <v>761</v>
      </c>
      <c r="S84" s="1067">
        <v>1674</v>
      </c>
      <c r="T84" s="1067">
        <f>U84</f>
        <v>1945</v>
      </c>
      <c r="U84" s="1066">
        <v>1945</v>
      </c>
      <c r="V84" s="1067">
        <v>2159</v>
      </c>
      <c r="W84" s="1068">
        <v>2360</v>
      </c>
      <c r="X84" s="1068">
        <v>2547</v>
      </c>
      <c r="Y84" s="1052"/>
      <c r="Z84" s="1051"/>
      <c r="AA84" s="1052"/>
      <c r="AB84" s="1052"/>
      <c r="AC84" s="1052"/>
      <c r="AD84" s="1052"/>
      <c r="AE84" s="1051"/>
      <c r="AF84" s="1052"/>
      <c r="AG84" s="1052"/>
      <c r="AH84" s="1052"/>
      <c r="AI84" s="1052"/>
      <c r="AJ84" s="1051"/>
      <c r="AK84" s="1052"/>
      <c r="AL84" s="1052"/>
      <c r="AM84" s="1052"/>
      <c r="AN84" s="1052"/>
      <c r="AO84" s="1051"/>
      <c r="AP84" s="1052"/>
      <c r="AQ84" s="1052"/>
      <c r="AR84" s="1052"/>
      <c r="AS84" s="1052"/>
      <c r="AT84" s="1051"/>
      <c r="AU84" s="1052"/>
      <c r="AV84" s="1052"/>
      <c r="AW84" s="1053"/>
      <c r="AX84" s="1052"/>
      <c r="AY84" s="1051"/>
      <c r="AZ84" s="1052"/>
      <c r="BA84" s="1052"/>
      <c r="BB84" s="1052"/>
      <c r="BC84" s="1052"/>
      <c r="BD84" s="1051"/>
      <c r="BE84" s="1051"/>
      <c r="BF84" s="1051"/>
      <c r="BG84" s="1051"/>
      <c r="BH84" s="1024"/>
    </row>
    <row r="85" spans="1:60" s="109" customFormat="1" ht="15" hidden="1" outlineLevel="1" x14ac:dyDescent="0.25">
      <c r="A85" s="649"/>
      <c r="B85" s="214"/>
      <c r="C85" s="1051"/>
      <c r="D85" s="1051"/>
      <c r="E85" s="1051"/>
      <c r="F85" s="1051"/>
      <c r="G85" s="1052"/>
      <c r="H85" s="1052"/>
      <c r="I85" s="1052"/>
      <c r="J85" s="1052"/>
      <c r="K85" s="1051"/>
      <c r="L85" s="1052"/>
      <c r="M85" s="1052"/>
      <c r="N85" s="1052"/>
      <c r="O85" s="1052"/>
      <c r="P85" s="1051"/>
      <c r="Q85" s="1052"/>
      <c r="R85" s="1052"/>
      <c r="S85" s="1052"/>
      <c r="T85" s="1052"/>
      <c r="U85" s="1051"/>
      <c r="V85" s="1052"/>
      <c r="W85" s="1052"/>
      <c r="X85" s="1052"/>
      <c r="Y85" s="1052"/>
      <c r="Z85" s="1051"/>
      <c r="AA85" s="1052"/>
      <c r="AB85" s="1052"/>
      <c r="AC85" s="1052"/>
      <c r="AD85" s="1052"/>
      <c r="AE85" s="1051"/>
      <c r="AF85" s="1052"/>
      <c r="AG85" s="1052"/>
      <c r="AH85" s="1052"/>
      <c r="AI85" s="1052"/>
      <c r="AJ85" s="1051"/>
      <c r="AK85" s="1052"/>
      <c r="AL85" s="1052"/>
      <c r="AM85" s="1052"/>
      <c r="AN85" s="1052"/>
      <c r="AO85" s="1051"/>
      <c r="AP85" s="1052"/>
      <c r="AQ85" s="1052"/>
      <c r="AR85" s="1052"/>
      <c r="AS85" s="1052"/>
      <c r="AT85" s="1051"/>
      <c r="AU85" s="1052"/>
      <c r="AV85" s="1052"/>
      <c r="AW85" s="1053"/>
      <c r="AX85" s="1052"/>
      <c r="AY85" s="1051"/>
      <c r="AZ85" s="1052"/>
      <c r="BA85" s="1052"/>
      <c r="BB85" s="1052"/>
      <c r="BC85" s="1052"/>
      <c r="BD85" s="1051"/>
      <c r="BE85" s="1051"/>
      <c r="BF85" s="1051"/>
      <c r="BG85" s="1051"/>
      <c r="BH85" s="1024"/>
    </row>
    <row r="86" spans="1:60" s="109" customFormat="1" ht="15" hidden="1" outlineLevel="1" x14ac:dyDescent="0.25">
      <c r="A86" s="208" t="s">
        <v>64</v>
      </c>
      <c r="B86" s="214"/>
      <c r="C86" s="1051"/>
      <c r="D86" s="1066">
        <v>31</v>
      </c>
      <c r="E86" s="1066">
        <v>72</v>
      </c>
      <c r="F86" s="1066">
        <v>157</v>
      </c>
      <c r="G86" s="1067">
        <v>46</v>
      </c>
      <c r="H86" s="1067">
        <v>53</v>
      </c>
      <c r="I86" s="1067">
        <v>53</v>
      </c>
      <c r="J86" s="1067">
        <f>K86</f>
        <v>280</v>
      </c>
      <c r="K86" s="1066">
        <v>280</v>
      </c>
      <c r="L86" s="1067">
        <v>82</v>
      </c>
      <c r="M86" s="1067">
        <v>107</v>
      </c>
      <c r="N86" s="1067">
        <v>137</v>
      </c>
      <c r="O86" s="1067">
        <v>176</v>
      </c>
      <c r="P86" s="1066">
        <f>SUM(L86,M86,N86,O86)</f>
        <v>502</v>
      </c>
      <c r="Q86" s="1067">
        <v>143</v>
      </c>
      <c r="R86" s="1067">
        <v>177</v>
      </c>
      <c r="S86" s="1067">
        <v>205</v>
      </c>
      <c r="T86" s="1067">
        <v>253</v>
      </c>
      <c r="U86" s="1066">
        <f>SUM(Q86,R86,S86,T86)</f>
        <v>778</v>
      </c>
      <c r="V86" s="1067">
        <v>245</v>
      </c>
      <c r="W86" s="1068">
        <v>211</v>
      </c>
      <c r="X86" s="1068">
        <v>189</v>
      </c>
      <c r="Y86" s="1052"/>
      <c r="Z86" s="1051"/>
      <c r="AA86" s="1052"/>
      <c r="AB86" s="1052"/>
      <c r="AC86" s="1052"/>
      <c r="AD86" s="1052"/>
      <c r="AE86" s="1051"/>
      <c r="AF86" s="1052"/>
      <c r="AG86" s="1052"/>
      <c r="AH86" s="1052"/>
      <c r="AI86" s="1052"/>
      <c r="AJ86" s="1051"/>
      <c r="AK86" s="1052"/>
      <c r="AL86" s="1052"/>
      <c r="AM86" s="1052"/>
      <c r="AN86" s="1052"/>
      <c r="AO86" s="1051"/>
      <c r="AP86" s="1052"/>
      <c r="AQ86" s="1052"/>
      <c r="AR86" s="1052"/>
      <c r="AS86" s="1052"/>
      <c r="AT86" s="1051"/>
      <c r="AU86" s="1052"/>
      <c r="AV86" s="1052"/>
      <c r="AW86" s="1053"/>
      <c r="AX86" s="1052"/>
      <c r="AY86" s="1051"/>
      <c r="AZ86" s="1052"/>
      <c r="BA86" s="1052"/>
      <c r="BB86" s="1052"/>
      <c r="BC86" s="1052"/>
      <c r="BD86" s="1051"/>
      <c r="BE86" s="1051"/>
      <c r="BF86" s="1051"/>
      <c r="BG86" s="1051"/>
      <c r="BH86" s="1024"/>
    </row>
    <row r="87" spans="1:60" s="109" customFormat="1" ht="15" hidden="1" outlineLevel="1" x14ac:dyDescent="0.25">
      <c r="A87" s="499" t="s">
        <v>65</v>
      </c>
      <c r="B87" s="214"/>
      <c r="C87" s="1051"/>
      <c r="D87" s="1051"/>
      <c r="E87" s="1051"/>
      <c r="F87" s="1051"/>
      <c r="G87" s="1052"/>
      <c r="H87" s="1052"/>
      <c r="I87" s="1052"/>
      <c r="J87" s="1052"/>
      <c r="K87" s="1051"/>
      <c r="L87" s="1052"/>
      <c r="M87" s="1052"/>
      <c r="N87" s="1067">
        <v>120</v>
      </c>
      <c r="O87" s="1067">
        <v>149</v>
      </c>
      <c r="P87" s="1066">
        <f>SUM(L87,M87,N87,O87)</f>
        <v>269</v>
      </c>
      <c r="Q87" s="1067">
        <v>139</v>
      </c>
      <c r="R87" s="1067">
        <v>168</v>
      </c>
      <c r="S87" s="1067">
        <v>203</v>
      </c>
      <c r="T87" s="1067">
        <v>221</v>
      </c>
      <c r="U87" s="1066">
        <f>SUM(Q87,R87,S87,T87)</f>
        <v>731</v>
      </c>
      <c r="V87" s="1067">
        <v>184</v>
      </c>
      <c r="W87" s="1068">
        <v>177</v>
      </c>
      <c r="X87" s="1068">
        <v>147</v>
      </c>
      <c r="Y87" s="1052"/>
      <c r="Z87" s="1051"/>
      <c r="AA87" s="1052"/>
      <c r="AB87" s="1052"/>
      <c r="AC87" s="1052"/>
      <c r="AD87" s="1052"/>
      <c r="AE87" s="1051"/>
      <c r="AF87" s="1052"/>
      <c r="AG87" s="1052"/>
      <c r="AH87" s="1052"/>
      <c r="AI87" s="1052"/>
      <c r="AJ87" s="1051"/>
      <c r="AK87" s="1052"/>
      <c r="AL87" s="1052"/>
      <c r="AM87" s="1052"/>
      <c r="AN87" s="1052"/>
      <c r="AO87" s="1051"/>
      <c r="AP87" s="1052"/>
      <c r="AQ87" s="1052"/>
      <c r="AR87" s="1052"/>
      <c r="AS87" s="1052"/>
      <c r="AT87" s="1051"/>
      <c r="AU87" s="1052"/>
      <c r="AV87" s="1052"/>
      <c r="AW87" s="1053"/>
      <c r="AX87" s="1052"/>
      <c r="AY87" s="1051"/>
      <c r="AZ87" s="1052"/>
      <c r="BA87" s="1052"/>
      <c r="BB87" s="1052"/>
      <c r="BC87" s="1052"/>
      <c r="BD87" s="1051"/>
      <c r="BE87" s="1051"/>
      <c r="BF87" s="1051"/>
      <c r="BG87" s="1051"/>
      <c r="BH87" s="1024"/>
    </row>
    <row r="88" spans="1:60" s="109" customFormat="1" ht="15" hidden="1" outlineLevel="1" x14ac:dyDescent="0.25">
      <c r="A88" s="499" t="s">
        <v>66</v>
      </c>
      <c r="B88" s="214"/>
      <c r="C88" s="1051"/>
      <c r="D88" s="1051"/>
      <c r="E88" s="1051"/>
      <c r="F88" s="1051"/>
      <c r="G88" s="1052"/>
      <c r="H88" s="1052"/>
      <c r="I88" s="1052"/>
      <c r="J88" s="1052"/>
      <c r="K88" s="1051"/>
      <c r="L88" s="1052"/>
      <c r="M88" s="1052"/>
      <c r="N88" s="1067">
        <v>17</v>
      </c>
      <c r="O88" s="1067">
        <v>28</v>
      </c>
      <c r="P88" s="1066">
        <f>SUM(L88,M88,N88,O88)</f>
        <v>45</v>
      </c>
      <c r="Q88" s="1067">
        <v>14</v>
      </c>
      <c r="R88" s="1067">
        <v>21</v>
      </c>
      <c r="S88" s="1067">
        <v>53</v>
      </c>
      <c r="T88" s="1067">
        <v>51</v>
      </c>
      <c r="U88" s="1066">
        <f>SUM(Q88,R88,S88,T88)</f>
        <v>139</v>
      </c>
      <c r="V88" s="1067">
        <v>30</v>
      </c>
      <c r="W88" s="1068">
        <v>24</v>
      </c>
      <c r="X88" s="1068">
        <v>40</v>
      </c>
      <c r="Y88" s="1052"/>
      <c r="Z88" s="1051"/>
      <c r="AA88" s="1052"/>
      <c r="AB88" s="1052"/>
      <c r="AC88" s="1052"/>
      <c r="AD88" s="1052"/>
      <c r="AE88" s="1051"/>
      <c r="AF88" s="1052"/>
      <c r="AG88" s="1052"/>
      <c r="AH88" s="1052"/>
      <c r="AI88" s="1052"/>
      <c r="AJ88" s="1051"/>
      <c r="AK88" s="1052"/>
      <c r="AL88" s="1052"/>
      <c r="AM88" s="1052"/>
      <c r="AN88" s="1052"/>
      <c r="AO88" s="1051"/>
      <c r="AP88" s="1052"/>
      <c r="AQ88" s="1052"/>
      <c r="AR88" s="1052"/>
      <c r="AS88" s="1052"/>
      <c r="AT88" s="1051"/>
      <c r="AU88" s="1052"/>
      <c r="AV88" s="1052"/>
      <c r="AW88" s="1053"/>
      <c r="AX88" s="1052"/>
      <c r="AY88" s="1051"/>
      <c r="AZ88" s="1052"/>
      <c r="BA88" s="1052"/>
      <c r="BB88" s="1052"/>
      <c r="BC88" s="1052"/>
      <c r="BD88" s="1051"/>
      <c r="BE88" s="1051"/>
      <c r="BF88" s="1051"/>
      <c r="BG88" s="1051"/>
      <c r="BH88" s="1024"/>
    </row>
    <row r="89" spans="1:60" s="109" customFormat="1" ht="15" hidden="1" outlineLevel="1" x14ac:dyDescent="0.25">
      <c r="A89" s="210" t="s">
        <v>67</v>
      </c>
      <c r="B89" s="652"/>
      <c r="C89" s="1057"/>
      <c r="D89" s="1109">
        <v>31</v>
      </c>
      <c r="E89" s="1109">
        <v>72</v>
      </c>
      <c r="F89" s="1109">
        <v>157</v>
      </c>
      <c r="G89" s="1058"/>
      <c r="H89" s="1058"/>
      <c r="I89" s="1058"/>
      <c r="J89" s="1110">
        <f>K89</f>
        <v>285</v>
      </c>
      <c r="K89" s="1109">
        <v>285</v>
      </c>
      <c r="L89" s="1110">
        <v>82</v>
      </c>
      <c r="M89" s="1110">
        <v>107</v>
      </c>
      <c r="N89" s="1110">
        <v>137</v>
      </c>
      <c r="O89" s="1110">
        <v>177</v>
      </c>
      <c r="P89" s="1109">
        <f>SUM(L89,M89,N89,O89)</f>
        <v>503</v>
      </c>
      <c r="Q89" s="1110">
        <v>153</v>
      </c>
      <c r="R89" s="1110">
        <v>189</v>
      </c>
      <c r="S89" s="1110">
        <v>256</v>
      </c>
      <c r="T89" s="1110">
        <v>272</v>
      </c>
      <c r="U89" s="1109">
        <f>SUM(Q89,R89,S89,T89)</f>
        <v>870</v>
      </c>
      <c r="V89" s="1110">
        <v>214</v>
      </c>
      <c r="W89" s="1111">
        <v>201</v>
      </c>
      <c r="X89" s="1111">
        <v>187</v>
      </c>
      <c r="Y89" s="1058"/>
      <c r="Z89" s="1057"/>
      <c r="AA89" s="1058"/>
      <c r="AB89" s="1058"/>
      <c r="AC89" s="1058"/>
      <c r="AD89" s="1058"/>
      <c r="AE89" s="1057"/>
      <c r="AF89" s="1058"/>
      <c r="AG89" s="1058"/>
      <c r="AH89" s="1058"/>
      <c r="AI89" s="1058"/>
      <c r="AJ89" s="1057"/>
      <c r="AK89" s="1058"/>
      <c r="AL89" s="1058"/>
      <c r="AM89" s="1058"/>
      <c r="AN89" s="1058"/>
      <c r="AO89" s="1057"/>
      <c r="AP89" s="1058"/>
      <c r="AQ89" s="1058"/>
      <c r="AR89" s="1058"/>
      <c r="AS89" s="1058"/>
      <c r="AT89" s="1057"/>
      <c r="AU89" s="1058"/>
      <c r="AV89" s="1058"/>
      <c r="AW89" s="1059"/>
      <c r="AX89" s="1058"/>
      <c r="AY89" s="1057"/>
      <c r="AZ89" s="1058"/>
      <c r="BA89" s="1058"/>
      <c r="BB89" s="1058"/>
      <c r="BC89" s="1058"/>
      <c r="BD89" s="1057"/>
      <c r="BE89" s="1057"/>
      <c r="BF89" s="1057"/>
      <c r="BG89" s="1057"/>
      <c r="BH89" s="1024"/>
    </row>
    <row r="90" spans="1:60" s="356" customFormat="1" ht="15" hidden="1" outlineLevel="1" x14ac:dyDescent="0.25">
      <c r="A90" s="653"/>
      <c r="B90" s="450"/>
      <c r="C90" s="440"/>
      <c r="D90" s="440"/>
      <c r="E90" s="440"/>
      <c r="F90" s="440"/>
      <c r="G90" s="439"/>
      <c r="H90" s="439"/>
      <c r="I90" s="439"/>
      <c r="J90" s="439"/>
      <c r="K90" s="440"/>
      <c r="L90" s="439"/>
      <c r="M90" s="439"/>
      <c r="N90" s="439"/>
      <c r="O90" s="439"/>
      <c r="P90" s="440"/>
      <c r="Q90" s="439"/>
      <c r="R90" s="439"/>
      <c r="S90" s="439"/>
      <c r="T90" s="439"/>
      <c r="U90" s="440"/>
      <c r="V90" s="439"/>
      <c r="W90" s="439"/>
      <c r="X90" s="439"/>
      <c r="Y90" s="439"/>
      <c r="Z90" s="440"/>
      <c r="AA90" s="439"/>
      <c r="AB90" s="439"/>
      <c r="AC90" s="439"/>
      <c r="AD90" s="439"/>
      <c r="AE90" s="440"/>
      <c r="AF90" s="439"/>
      <c r="AG90" s="439"/>
      <c r="AH90" s="439"/>
      <c r="AI90" s="439"/>
      <c r="AJ90" s="440"/>
      <c r="AK90" s="439"/>
      <c r="AL90" s="439"/>
      <c r="AM90" s="439"/>
      <c r="AN90" s="439"/>
      <c r="AO90" s="440"/>
      <c r="AP90" s="439"/>
      <c r="AQ90" s="439"/>
      <c r="AR90" s="439"/>
      <c r="AS90" s="439"/>
      <c r="AT90" s="440"/>
      <c r="AU90" s="439"/>
      <c r="AV90" s="439"/>
      <c r="AW90" s="726"/>
      <c r="AX90" s="439"/>
      <c r="AY90" s="440"/>
      <c r="AZ90" s="439"/>
      <c r="BA90" s="439"/>
      <c r="BB90" s="439"/>
      <c r="BC90" s="439"/>
      <c r="BD90" s="440"/>
      <c r="BE90" s="440"/>
      <c r="BF90" s="440"/>
      <c r="BG90" s="440"/>
      <c r="BH90" s="361"/>
    </row>
    <row r="91" spans="1:60" s="111" customFormat="1" ht="15" hidden="1" outlineLevel="1" x14ac:dyDescent="0.25">
      <c r="A91" s="211" t="s">
        <v>68</v>
      </c>
      <c r="B91" s="650"/>
      <c r="C91" s="700"/>
      <c r="D91" s="700"/>
      <c r="E91" s="700"/>
      <c r="F91" s="700"/>
      <c r="G91" s="651"/>
      <c r="H91" s="651"/>
      <c r="I91" s="651"/>
      <c r="J91" s="651"/>
      <c r="K91" s="700"/>
      <c r="L91" s="651"/>
      <c r="M91" s="651"/>
      <c r="N91" s="651"/>
      <c r="O91" s="651"/>
      <c r="P91" s="700"/>
      <c r="Q91" s="102">
        <v>2.1</v>
      </c>
      <c r="R91" s="102">
        <v>2.13</v>
      </c>
      <c r="S91" s="102">
        <v>1.94</v>
      </c>
      <c r="T91" s="102">
        <v>1.92</v>
      </c>
      <c r="U91" s="700"/>
      <c r="V91" s="102">
        <v>1.98</v>
      </c>
      <c r="W91" s="781">
        <v>2.0699999999999998</v>
      </c>
      <c r="X91" s="781">
        <v>2.02</v>
      </c>
      <c r="Y91" s="651"/>
      <c r="Z91" s="700"/>
      <c r="AA91" s="651"/>
      <c r="AB91" s="651"/>
      <c r="AC91" s="651"/>
      <c r="AD91" s="651"/>
      <c r="AE91" s="700"/>
      <c r="AF91" s="651"/>
      <c r="AG91" s="651"/>
      <c r="AH91" s="651"/>
      <c r="AI91" s="651"/>
      <c r="AJ91" s="700"/>
      <c r="AK91" s="651"/>
      <c r="AL91" s="651"/>
      <c r="AM91" s="651"/>
      <c r="AN91" s="651"/>
      <c r="AO91" s="700"/>
      <c r="AP91" s="651"/>
      <c r="AQ91" s="651"/>
      <c r="AR91" s="651"/>
      <c r="AS91" s="651"/>
      <c r="AT91" s="700"/>
      <c r="AU91" s="651"/>
      <c r="AV91" s="651"/>
      <c r="AW91" s="732"/>
      <c r="AX91" s="651"/>
      <c r="AY91" s="700"/>
      <c r="AZ91" s="651"/>
      <c r="BA91" s="651"/>
      <c r="BB91" s="651"/>
      <c r="BC91" s="651"/>
      <c r="BD91" s="700"/>
      <c r="BE91" s="700"/>
      <c r="BF91" s="700"/>
      <c r="BG91" s="700"/>
      <c r="BH91" s="102"/>
    </row>
    <row r="92" spans="1:60" s="111" customFormat="1" ht="15" hidden="1" outlineLevel="1" x14ac:dyDescent="0.25">
      <c r="A92" s="211" t="s">
        <v>69</v>
      </c>
      <c r="B92" s="650"/>
      <c r="C92" s="700"/>
      <c r="D92" s="700"/>
      <c r="E92" s="700"/>
      <c r="F92" s="700"/>
      <c r="G92" s="651"/>
      <c r="H92" s="651"/>
      <c r="I92" s="651"/>
      <c r="J92" s="651"/>
      <c r="K92" s="700"/>
      <c r="L92" s="651"/>
      <c r="M92" s="651"/>
      <c r="N92" s="651"/>
      <c r="O92" s="651"/>
      <c r="P92" s="700"/>
      <c r="Q92" s="102">
        <v>0.56999999999999995</v>
      </c>
      <c r="R92" s="102">
        <v>0.53</v>
      </c>
      <c r="S92" s="102">
        <v>0.59</v>
      </c>
      <c r="T92" s="102">
        <v>0.54</v>
      </c>
      <c r="U92" s="700"/>
      <c r="V92" s="102">
        <v>0.97</v>
      </c>
      <c r="W92" s="781">
        <v>0.71</v>
      </c>
      <c r="X92" s="781">
        <v>0.57999999999999996</v>
      </c>
      <c r="Y92" s="651"/>
      <c r="Z92" s="700"/>
      <c r="AA92" s="651"/>
      <c r="AB92" s="651"/>
      <c r="AC92" s="651"/>
      <c r="AD92" s="651"/>
      <c r="AE92" s="700"/>
      <c r="AF92" s="651"/>
      <c r="AG92" s="651"/>
      <c r="AH92" s="651"/>
      <c r="AI92" s="651"/>
      <c r="AJ92" s="700"/>
      <c r="AK92" s="651"/>
      <c r="AL92" s="651"/>
      <c r="AM92" s="651"/>
      <c r="AN92" s="651"/>
      <c r="AO92" s="700"/>
      <c r="AP92" s="651"/>
      <c r="AQ92" s="651"/>
      <c r="AR92" s="651"/>
      <c r="AS92" s="651"/>
      <c r="AT92" s="700"/>
      <c r="AU92" s="651"/>
      <c r="AV92" s="651"/>
      <c r="AW92" s="732"/>
      <c r="AX92" s="651"/>
      <c r="AY92" s="700"/>
      <c r="AZ92" s="651"/>
      <c r="BA92" s="651"/>
      <c r="BB92" s="651"/>
      <c r="BC92" s="651"/>
      <c r="BD92" s="700"/>
      <c r="BE92" s="700"/>
      <c r="BF92" s="700"/>
      <c r="BG92" s="700"/>
      <c r="BH92" s="102"/>
    </row>
    <row r="93" spans="1:60" s="111" customFormat="1" ht="15" hidden="1" outlineLevel="1" x14ac:dyDescent="0.25">
      <c r="A93" s="211" t="s">
        <v>70</v>
      </c>
      <c r="B93" s="650"/>
      <c r="C93" s="700"/>
      <c r="D93" s="700"/>
      <c r="E93" s="700"/>
      <c r="F93" s="700"/>
      <c r="G93" s="651"/>
      <c r="H93" s="651"/>
      <c r="I93" s="651"/>
      <c r="J93" s="651"/>
      <c r="K93" s="700"/>
      <c r="L93" s="651"/>
      <c r="M93" s="651"/>
      <c r="N93" s="651"/>
      <c r="O93" s="651"/>
      <c r="P93" s="700"/>
      <c r="Q93" s="102">
        <v>0.22</v>
      </c>
      <c r="R93" s="102">
        <v>0.24</v>
      </c>
      <c r="S93" s="102">
        <v>0.23</v>
      </c>
      <c r="T93" s="102">
        <v>0.21</v>
      </c>
      <c r="U93" s="700"/>
      <c r="V93" s="102">
        <v>0.23</v>
      </c>
      <c r="W93" s="781">
        <v>0.27</v>
      </c>
      <c r="X93" s="781">
        <v>0.28999999999999998</v>
      </c>
      <c r="Y93" s="651"/>
      <c r="Z93" s="700"/>
      <c r="AA93" s="651"/>
      <c r="AB93" s="651"/>
      <c r="AC93" s="651"/>
      <c r="AD93" s="651"/>
      <c r="AE93" s="700"/>
      <c r="AF93" s="651"/>
      <c r="AG93" s="651"/>
      <c r="AH93" s="651"/>
      <c r="AI93" s="651"/>
      <c r="AJ93" s="700"/>
      <c r="AK93" s="651"/>
      <c r="AL93" s="651"/>
      <c r="AM93" s="651"/>
      <c r="AN93" s="651"/>
      <c r="AO93" s="700"/>
      <c r="AP93" s="651"/>
      <c r="AQ93" s="651"/>
      <c r="AR93" s="651"/>
      <c r="AS93" s="651"/>
      <c r="AT93" s="700"/>
      <c r="AU93" s="651"/>
      <c r="AV93" s="651"/>
      <c r="AW93" s="732"/>
      <c r="AX93" s="651"/>
      <c r="AY93" s="700"/>
      <c r="AZ93" s="651"/>
      <c r="BA93" s="651"/>
      <c r="BB93" s="651"/>
      <c r="BC93" s="651"/>
      <c r="BD93" s="700"/>
      <c r="BE93" s="700"/>
      <c r="BF93" s="700"/>
      <c r="BG93" s="700"/>
      <c r="BH93" s="102"/>
    </row>
    <row r="94" spans="1:60" s="119" customFormat="1" ht="15" hidden="1" outlineLevel="1" x14ac:dyDescent="0.25">
      <c r="A94" s="103" t="s">
        <v>71</v>
      </c>
      <c r="B94" s="654"/>
      <c r="C94" s="701"/>
      <c r="D94" s="701"/>
      <c r="E94" s="701"/>
      <c r="F94" s="701"/>
      <c r="G94" s="655"/>
      <c r="H94" s="655"/>
      <c r="I94" s="655"/>
      <c r="J94" s="655"/>
      <c r="K94" s="701"/>
      <c r="L94" s="655"/>
      <c r="M94" s="655"/>
      <c r="N94" s="655"/>
      <c r="O94" s="655"/>
      <c r="P94" s="701"/>
      <c r="Q94" s="88">
        <f t="shared" ref="Q94:X94" si="33">Q91+Q92+Q93</f>
        <v>2.89</v>
      </c>
      <c r="R94" s="88">
        <f t="shared" si="33"/>
        <v>2.9000000000000004</v>
      </c>
      <c r="S94" s="88">
        <f t="shared" si="33"/>
        <v>2.76</v>
      </c>
      <c r="T94" s="88">
        <f t="shared" si="33"/>
        <v>2.67</v>
      </c>
      <c r="U94" s="701"/>
      <c r="V94" s="88">
        <f t="shared" si="33"/>
        <v>3.18</v>
      </c>
      <c r="W94" s="89">
        <f t="shared" si="33"/>
        <v>3.05</v>
      </c>
      <c r="X94" s="89">
        <f t="shared" si="33"/>
        <v>2.89</v>
      </c>
      <c r="Y94" s="655"/>
      <c r="Z94" s="701"/>
      <c r="AA94" s="655"/>
      <c r="AB94" s="655"/>
      <c r="AC94" s="655"/>
      <c r="AD94" s="655"/>
      <c r="AE94" s="701"/>
      <c r="AF94" s="655"/>
      <c r="AG94" s="655"/>
      <c r="AH94" s="655"/>
      <c r="AI94" s="655"/>
      <c r="AJ94" s="701"/>
      <c r="AK94" s="655"/>
      <c r="AL94" s="655"/>
      <c r="AM94" s="655"/>
      <c r="AN94" s="655"/>
      <c r="AO94" s="701"/>
      <c r="AP94" s="655"/>
      <c r="AQ94" s="655"/>
      <c r="AR94" s="655"/>
      <c r="AS94" s="655"/>
      <c r="AT94" s="701"/>
      <c r="AU94" s="655"/>
      <c r="AV94" s="655"/>
      <c r="AW94" s="733"/>
      <c r="AX94" s="655"/>
      <c r="AY94" s="701"/>
      <c r="AZ94" s="655"/>
      <c r="BA94" s="655"/>
      <c r="BB94" s="655"/>
      <c r="BC94" s="655"/>
      <c r="BD94" s="701"/>
      <c r="BE94" s="701"/>
      <c r="BF94" s="701"/>
      <c r="BG94" s="701"/>
      <c r="BH94" s="373"/>
    </row>
    <row r="95" spans="1:60" s="109" customFormat="1" ht="15" hidden="1" outlineLevel="1" x14ac:dyDescent="0.25">
      <c r="A95" s="649"/>
      <c r="B95" s="214"/>
      <c r="C95" s="1051"/>
      <c r="D95" s="1051"/>
      <c r="E95" s="1051"/>
      <c r="F95" s="1051"/>
      <c r="G95" s="1052"/>
      <c r="H95" s="1052"/>
      <c r="I95" s="1052"/>
      <c r="J95" s="1052"/>
      <c r="K95" s="1051"/>
      <c r="L95" s="1052"/>
      <c r="M95" s="1052"/>
      <c r="N95" s="1052"/>
      <c r="O95" s="1052"/>
      <c r="P95" s="1051"/>
      <c r="Q95" s="1052"/>
      <c r="R95" s="1052"/>
      <c r="S95" s="1052"/>
      <c r="T95" s="1052"/>
      <c r="U95" s="1051"/>
      <c r="V95" s="1052"/>
      <c r="W95" s="1052"/>
      <c r="X95" s="1052"/>
      <c r="Y95" s="1052"/>
      <c r="Z95" s="1051"/>
      <c r="AA95" s="1052"/>
      <c r="AB95" s="1052"/>
      <c r="AC95" s="1052"/>
      <c r="AD95" s="1052"/>
      <c r="AE95" s="1051"/>
      <c r="AF95" s="1052"/>
      <c r="AG95" s="1052"/>
      <c r="AH95" s="1052"/>
      <c r="AI95" s="1052"/>
      <c r="AJ95" s="1051"/>
      <c r="AK95" s="1052"/>
      <c r="AL95" s="1052"/>
      <c r="AM95" s="1052"/>
      <c r="AN95" s="1052"/>
      <c r="AO95" s="1051"/>
      <c r="AP95" s="1052"/>
      <c r="AQ95" s="1052"/>
      <c r="AR95" s="1052"/>
      <c r="AS95" s="1052"/>
      <c r="AT95" s="1051"/>
      <c r="AU95" s="1052"/>
      <c r="AV95" s="1052"/>
      <c r="AW95" s="1053"/>
      <c r="AX95" s="1052"/>
      <c r="AY95" s="1051"/>
      <c r="AZ95" s="1052"/>
      <c r="BA95" s="1052"/>
      <c r="BB95" s="1052"/>
      <c r="BC95" s="1052"/>
      <c r="BD95" s="1051"/>
      <c r="BE95" s="1051"/>
      <c r="BF95" s="1051"/>
      <c r="BG95" s="1051"/>
      <c r="BH95" s="1024"/>
    </row>
    <row r="96" spans="1:60" s="111" customFormat="1" ht="15" hidden="1" outlineLevel="1" x14ac:dyDescent="0.25">
      <c r="A96" s="211" t="s">
        <v>72</v>
      </c>
      <c r="B96" s="650"/>
      <c r="C96" s="700"/>
      <c r="D96" s="700"/>
      <c r="E96" s="700"/>
      <c r="F96" s="700"/>
      <c r="G96" s="651"/>
      <c r="H96" s="651"/>
      <c r="I96" s="651"/>
      <c r="J96" s="651"/>
      <c r="K96" s="700"/>
      <c r="L96" s="651"/>
      <c r="M96" s="651"/>
      <c r="N96" s="651"/>
      <c r="O96" s="651"/>
      <c r="P96" s="700"/>
      <c r="Q96" s="102">
        <v>3.44</v>
      </c>
      <c r="R96" s="102">
        <v>3.49</v>
      </c>
      <c r="S96" s="102">
        <v>3.5</v>
      </c>
      <c r="T96" s="102">
        <v>3.32</v>
      </c>
      <c r="U96" s="700"/>
      <c r="V96" s="102">
        <v>3.13</v>
      </c>
      <c r="W96" s="781">
        <v>3.26</v>
      </c>
      <c r="X96" s="781">
        <v>3.02</v>
      </c>
      <c r="Y96" s="651"/>
      <c r="Z96" s="700"/>
      <c r="AA96" s="651"/>
      <c r="AB96" s="651"/>
      <c r="AC96" s="651"/>
      <c r="AD96" s="651"/>
      <c r="AE96" s="700"/>
      <c r="AF96" s="651"/>
      <c r="AG96" s="651"/>
      <c r="AH96" s="651"/>
      <c r="AI96" s="651"/>
      <c r="AJ96" s="700"/>
      <c r="AK96" s="651"/>
      <c r="AL96" s="651"/>
      <c r="AM96" s="651"/>
      <c r="AN96" s="651"/>
      <c r="AO96" s="700"/>
      <c r="AP96" s="651"/>
      <c r="AQ96" s="651"/>
      <c r="AR96" s="651"/>
      <c r="AS96" s="651"/>
      <c r="AT96" s="700"/>
      <c r="AU96" s="651"/>
      <c r="AV96" s="651"/>
      <c r="AW96" s="732"/>
      <c r="AX96" s="651"/>
      <c r="AY96" s="700"/>
      <c r="AZ96" s="651"/>
      <c r="BA96" s="651"/>
      <c r="BB96" s="651"/>
      <c r="BC96" s="651"/>
      <c r="BD96" s="700"/>
      <c r="BE96" s="700"/>
      <c r="BF96" s="700"/>
      <c r="BG96" s="700"/>
      <c r="BH96" s="102"/>
    </row>
    <row r="97" spans="1:60" s="111" customFormat="1" ht="15" hidden="1" outlineLevel="1" x14ac:dyDescent="0.25">
      <c r="A97" s="211" t="s">
        <v>73</v>
      </c>
      <c r="B97" s="650"/>
      <c r="C97" s="700"/>
      <c r="D97" s="700"/>
      <c r="E97" s="700"/>
      <c r="F97" s="700"/>
      <c r="G97" s="651"/>
      <c r="H97" s="651"/>
      <c r="I97" s="651"/>
      <c r="J97" s="651"/>
      <c r="K97" s="700"/>
      <c r="L97" s="651"/>
      <c r="M97" s="651"/>
      <c r="N97" s="651"/>
      <c r="O97" s="651"/>
      <c r="P97" s="700"/>
      <c r="Q97" s="102">
        <v>0.33</v>
      </c>
      <c r="R97" s="102">
        <v>0.34</v>
      </c>
      <c r="S97" s="102">
        <v>3.36</v>
      </c>
      <c r="T97" s="102">
        <v>0.32</v>
      </c>
      <c r="U97" s="700"/>
      <c r="V97" s="102">
        <v>0.33</v>
      </c>
      <c r="W97" s="781">
        <v>0.36</v>
      </c>
      <c r="X97" s="781">
        <v>0.36</v>
      </c>
      <c r="Y97" s="651"/>
      <c r="Z97" s="700"/>
      <c r="AA97" s="651"/>
      <c r="AB97" s="651"/>
      <c r="AC97" s="651"/>
      <c r="AD97" s="651"/>
      <c r="AE97" s="700"/>
      <c r="AF97" s="651"/>
      <c r="AG97" s="651"/>
      <c r="AH97" s="651"/>
      <c r="AI97" s="651"/>
      <c r="AJ97" s="700"/>
      <c r="AK97" s="651"/>
      <c r="AL97" s="651"/>
      <c r="AM97" s="651"/>
      <c r="AN97" s="651"/>
      <c r="AO97" s="700"/>
      <c r="AP97" s="651"/>
      <c r="AQ97" s="651"/>
      <c r="AR97" s="651"/>
      <c r="AS97" s="651"/>
      <c r="AT97" s="700"/>
      <c r="AU97" s="651"/>
      <c r="AV97" s="651"/>
      <c r="AW97" s="732"/>
      <c r="AX97" s="651"/>
      <c r="AY97" s="700"/>
      <c r="AZ97" s="651"/>
      <c r="BA97" s="651"/>
      <c r="BB97" s="651"/>
      <c r="BC97" s="651"/>
      <c r="BD97" s="700"/>
      <c r="BE97" s="700"/>
      <c r="BF97" s="700"/>
      <c r="BG97" s="700"/>
      <c r="BH97" s="102"/>
    </row>
    <row r="98" spans="1:60" s="119" customFormat="1" ht="15" hidden="1" outlineLevel="1" x14ac:dyDescent="0.25">
      <c r="A98" s="87" t="s">
        <v>74</v>
      </c>
      <c r="B98" s="654"/>
      <c r="C98" s="701"/>
      <c r="D98" s="701"/>
      <c r="E98" s="701"/>
      <c r="F98" s="701"/>
      <c r="G98" s="655"/>
      <c r="H98" s="655"/>
      <c r="I98" s="655"/>
      <c r="J98" s="655"/>
      <c r="K98" s="701"/>
      <c r="L98" s="655"/>
      <c r="M98" s="655"/>
      <c r="N98" s="655"/>
      <c r="O98" s="655"/>
      <c r="P98" s="701"/>
      <c r="Q98" s="88">
        <f t="shared" ref="Q98:X98" si="34">Q96+Q97</f>
        <v>3.77</v>
      </c>
      <c r="R98" s="88">
        <f t="shared" si="34"/>
        <v>3.83</v>
      </c>
      <c r="S98" s="88">
        <f t="shared" si="34"/>
        <v>6.8599999999999994</v>
      </c>
      <c r="T98" s="88">
        <f t="shared" si="34"/>
        <v>3.6399999999999997</v>
      </c>
      <c r="U98" s="701"/>
      <c r="V98" s="88">
        <f t="shared" si="34"/>
        <v>3.46</v>
      </c>
      <c r="W98" s="89">
        <f t="shared" si="34"/>
        <v>3.6199999999999997</v>
      </c>
      <c r="X98" s="89">
        <f t="shared" si="34"/>
        <v>3.38</v>
      </c>
      <c r="Y98" s="655"/>
      <c r="Z98" s="701"/>
      <c r="AA98" s="655"/>
      <c r="AB98" s="655"/>
      <c r="AC98" s="655"/>
      <c r="AD98" s="655"/>
      <c r="AE98" s="701"/>
      <c r="AF98" s="655"/>
      <c r="AG98" s="655"/>
      <c r="AH98" s="655"/>
      <c r="AI98" s="655"/>
      <c r="AJ98" s="701"/>
      <c r="AK98" s="655"/>
      <c r="AL98" s="655"/>
      <c r="AM98" s="655"/>
      <c r="AN98" s="655"/>
      <c r="AO98" s="701"/>
      <c r="AP98" s="655"/>
      <c r="AQ98" s="655"/>
      <c r="AR98" s="655"/>
      <c r="AS98" s="655"/>
      <c r="AT98" s="701"/>
      <c r="AU98" s="655"/>
      <c r="AV98" s="655"/>
      <c r="AW98" s="733"/>
      <c r="AX98" s="655"/>
      <c r="AY98" s="701"/>
      <c r="AZ98" s="655"/>
      <c r="BA98" s="655"/>
      <c r="BB98" s="655"/>
      <c r="BC98" s="655"/>
      <c r="BD98" s="701"/>
      <c r="BE98" s="701"/>
      <c r="BF98" s="701"/>
      <c r="BG98" s="701"/>
      <c r="BH98" s="373"/>
    </row>
    <row r="99" spans="1:60" s="119" customFormat="1" ht="15" hidden="1" outlineLevel="1" x14ac:dyDescent="0.25">
      <c r="A99" s="656"/>
      <c r="B99" s="657"/>
      <c r="C99" s="253"/>
      <c r="D99" s="253"/>
      <c r="E99" s="253"/>
      <c r="F99" s="253"/>
      <c r="G99" s="247"/>
      <c r="H99" s="247"/>
      <c r="I99" s="247"/>
      <c r="J99" s="247"/>
      <c r="K99" s="253"/>
      <c r="L99" s="247"/>
      <c r="M99" s="247"/>
      <c r="N99" s="247"/>
      <c r="O99" s="247"/>
      <c r="P99" s="253"/>
      <c r="Q99" s="247"/>
      <c r="R99" s="247"/>
      <c r="S99" s="247"/>
      <c r="T99" s="247"/>
      <c r="U99" s="253"/>
      <c r="V99" s="247"/>
      <c r="W99" s="247"/>
      <c r="X99" s="247"/>
      <c r="Y99" s="247"/>
      <c r="Z99" s="253"/>
      <c r="AA99" s="247"/>
      <c r="AB99" s="247"/>
      <c r="AC99" s="247"/>
      <c r="AD99" s="247"/>
      <c r="AE99" s="253"/>
      <c r="AF99" s="247"/>
      <c r="AG99" s="247"/>
      <c r="AH99" s="247"/>
      <c r="AI99" s="247"/>
      <c r="AJ99" s="253"/>
      <c r="AK99" s="247"/>
      <c r="AL99" s="247"/>
      <c r="AM99" s="247"/>
      <c r="AN99" s="247"/>
      <c r="AO99" s="253"/>
      <c r="AP99" s="247"/>
      <c r="AQ99" s="247"/>
      <c r="AR99" s="247"/>
      <c r="AS99" s="247"/>
      <c r="AT99" s="253"/>
      <c r="AU99" s="247"/>
      <c r="AV99" s="247"/>
      <c r="AW99" s="734"/>
      <c r="AX99" s="247"/>
      <c r="AY99" s="253"/>
      <c r="AZ99" s="247"/>
      <c r="BA99" s="247"/>
      <c r="BB99" s="247"/>
      <c r="BC99" s="247"/>
      <c r="BD99" s="253"/>
      <c r="BE99" s="253"/>
      <c r="BF99" s="253"/>
      <c r="BG99" s="253"/>
      <c r="BH99" s="373"/>
    </row>
    <row r="100" spans="1:60" s="111" customFormat="1" ht="15" hidden="1" outlineLevel="1" x14ac:dyDescent="0.25">
      <c r="A100" s="212" t="s">
        <v>75</v>
      </c>
      <c r="B100" s="650"/>
      <c r="C100" s="700"/>
      <c r="D100" s="700"/>
      <c r="E100" s="700"/>
      <c r="F100" s="700"/>
      <c r="G100" s="651"/>
      <c r="H100" s="651"/>
      <c r="I100" s="651"/>
      <c r="J100" s="651"/>
      <c r="K100" s="700"/>
      <c r="L100" s="651"/>
      <c r="M100" s="651"/>
      <c r="N100" s="651"/>
      <c r="O100" s="651"/>
      <c r="P100" s="700"/>
      <c r="Q100" s="102">
        <v>2.35</v>
      </c>
      <c r="R100" s="102">
        <v>2.33</v>
      </c>
      <c r="S100" s="102">
        <v>3.2</v>
      </c>
      <c r="T100" s="102">
        <v>2.4</v>
      </c>
      <c r="U100" s="700"/>
      <c r="V100" s="102">
        <v>3.12</v>
      </c>
      <c r="W100" s="781">
        <v>2.54</v>
      </c>
      <c r="X100" s="781">
        <v>3.18</v>
      </c>
      <c r="Y100" s="651"/>
      <c r="Z100" s="700"/>
      <c r="AA100" s="651"/>
      <c r="AB100" s="651"/>
      <c r="AC100" s="651"/>
      <c r="AD100" s="651"/>
      <c r="AE100" s="700"/>
      <c r="AF100" s="651"/>
      <c r="AG100" s="651"/>
      <c r="AH100" s="651"/>
      <c r="AI100" s="651"/>
      <c r="AJ100" s="700"/>
      <c r="AK100" s="651"/>
      <c r="AL100" s="651"/>
      <c r="AM100" s="651"/>
      <c r="AN100" s="651"/>
      <c r="AO100" s="700"/>
      <c r="AP100" s="651"/>
      <c r="AQ100" s="651"/>
      <c r="AR100" s="651"/>
      <c r="AS100" s="651"/>
      <c r="AT100" s="700"/>
      <c r="AU100" s="651"/>
      <c r="AV100" s="651"/>
      <c r="AW100" s="732"/>
      <c r="AX100" s="651"/>
      <c r="AY100" s="700"/>
      <c r="AZ100" s="651"/>
      <c r="BA100" s="651"/>
      <c r="BB100" s="651"/>
      <c r="BC100" s="651"/>
      <c r="BD100" s="700"/>
      <c r="BE100" s="700"/>
      <c r="BF100" s="700"/>
      <c r="BG100" s="700"/>
      <c r="BH100" s="102"/>
    </row>
    <row r="101" spans="1:60" s="111" customFormat="1" ht="15" hidden="1" outlineLevel="1" x14ac:dyDescent="0.25">
      <c r="A101" s="773"/>
      <c r="B101" s="650"/>
      <c r="C101" s="700"/>
      <c r="D101" s="700"/>
      <c r="E101" s="700"/>
      <c r="F101" s="700"/>
      <c r="G101" s="651"/>
      <c r="H101" s="651"/>
      <c r="I101" s="651"/>
      <c r="J101" s="651"/>
      <c r="K101" s="700"/>
      <c r="L101" s="651"/>
      <c r="M101" s="651"/>
      <c r="N101" s="651"/>
      <c r="O101" s="651"/>
      <c r="P101" s="700"/>
      <c r="Q101" s="651"/>
      <c r="R101" s="651"/>
      <c r="S101" s="651"/>
      <c r="T101" s="651"/>
      <c r="U101" s="700"/>
      <c r="V101" s="651"/>
      <c r="W101" s="651"/>
      <c r="X101" s="651"/>
      <c r="Y101" s="651"/>
      <c r="Z101" s="700"/>
      <c r="AA101" s="651"/>
      <c r="AB101" s="651"/>
      <c r="AC101" s="651"/>
      <c r="AD101" s="651"/>
      <c r="AE101" s="700"/>
      <c r="AF101" s="651"/>
      <c r="AG101" s="651"/>
      <c r="AH101" s="651"/>
      <c r="AI101" s="651"/>
      <c r="AJ101" s="700"/>
      <c r="AK101" s="651"/>
      <c r="AL101" s="651"/>
      <c r="AM101" s="651"/>
      <c r="AN101" s="651"/>
      <c r="AO101" s="700"/>
      <c r="AP101" s="651"/>
      <c r="AQ101" s="651"/>
      <c r="AR101" s="651"/>
      <c r="AS101" s="651"/>
      <c r="AT101" s="700"/>
      <c r="AU101" s="651"/>
      <c r="AV101" s="651"/>
      <c r="AW101" s="732"/>
      <c r="AX101" s="651"/>
      <c r="AY101" s="700"/>
      <c r="AZ101" s="651"/>
      <c r="BA101" s="651"/>
      <c r="BB101" s="651"/>
      <c r="BC101" s="651"/>
      <c r="BD101" s="700"/>
      <c r="BE101" s="700"/>
      <c r="BF101" s="700"/>
      <c r="BG101" s="700"/>
      <c r="BH101" s="102"/>
    </row>
    <row r="102" spans="1:60" s="112" customFormat="1" ht="15" hidden="1" outlineLevel="1" x14ac:dyDescent="0.25">
      <c r="A102" s="1020" t="s">
        <v>590</v>
      </c>
      <c r="B102" s="1020"/>
      <c r="C102" s="1043"/>
      <c r="D102" s="1043"/>
      <c r="E102" s="1043"/>
      <c r="F102" s="1043"/>
      <c r="G102" s="1043"/>
      <c r="H102" s="1043"/>
      <c r="I102" s="1043"/>
      <c r="J102" s="1043"/>
      <c r="K102" s="1043"/>
      <c r="L102" s="1043"/>
      <c r="M102" s="1043"/>
      <c r="N102" s="1043"/>
      <c r="O102" s="1043"/>
      <c r="P102" s="1043"/>
      <c r="Q102" s="1043"/>
      <c r="R102" s="1043"/>
      <c r="S102" s="1043"/>
      <c r="T102" s="1043"/>
      <c r="U102" s="1043"/>
      <c r="V102" s="1043"/>
      <c r="W102" s="1043"/>
      <c r="X102" s="1043"/>
      <c r="Y102" s="1043"/>
      <c r="Z102" s="1043"/>
      <c r="AA102" s="1043"/>
      <c r="AB102" s="1043"/>
      <c r="AC102" s="1043"/>
      <c r="AD102" s="1043"/>
      <c r="AE102" s="1043"/>
      <c r="AF102" s="1043"/>
      <c r="AG102" s="1043"/>
      <c r="AH102" s="1043"/>
      <c r="AI102" s="1043"/>
      <c r="AJ102" s="1043"/>
      <c r="AK102" s="1043"/>
      <c r="AL102" s="1043"/>
      <c r="AM102" s="1043"/>
      <c r="AN102" s="1043"/>
      <c r="AO102" s="1043"/>
      <c r="AP102" s="1043"/>
      <c r="AQ102" s="1043"/>
      <c r="AR102" s="1043"/>
      <c r="AS102" s="1043"/>
      <c r="AT102" s="1043"/>
      <c r="AU102" s="1043"/>
      <c r="AV102" s="1043"/>
      <c r="AW102" s="1044"/>
      <c r="AX102" s="1043"/>
      <c r="AY102" s="1043"/>
      <c r="AZ102" s="1043"/>
      <c r="BA102" s="1043"/>
      <c r="BB102" s="1043"/>
      <c r="BC102" s="1043"/>
      <c r="BD102" s="1043"/>
      <c r="BE102" s="1043"/>
      <c r="BF102" s="1043"/>
      <c r="BG102" s="1043"/>
      <c r="BH102" s="1034"/>
    </row>
    <row r="103" spans="1:60" s="109" customFormat="1" ht="15" hidden="1" outlineLevel="1" x14ac:dyDescent="0.25">
      <c r="A103" s="213" t="s">
        <v>578</v>
      </c>
      <c r="B103" s="214"/>
      <c r="C103" s="1051">
        <v>90.832999999999998</v>
      </c>
      <c r="D103" s="1051">
        <v>41.866</v>
      </c>
      <c r="E103" s="1051">
        <v>109.233</v>
      </c>
      <c r="F103" s="1051">
        <v>355.32499999999999</v>
      </c>
      <c r="G103" s="1052">
        <v>552.49599999999998</v>
      </c>
      <c r="H103" s="1052">
        <v>400.137</v>
      </c>
      <c r="I103" s="1052">
        <v>285.21100000000001</v>
      </c>
      <c r="J103" s="1052">
        <f>K103-SUM(G103,H103,I103)</f>
        <v>307.56899999999996</v>
      </c>
      <c r="K103" s="1051">
        <v>1545.413</v>
      </c>
      <c r="L103" s="1052">
        <v>288.37900000000002</v>
      </c>
      <c r="M103" s="1052">
        <v>351.577</v>
      </c>
      <c r="N103" s="1052"/>
      <c r="O103" s="1052"/>
      <c r="P103" s="1051"/>
      <c r="Q103" s="1052"/>
      <c r="R103" s="1052"/>
      <c r="S103" s="1052"/>
      <c r="T103" s="1052"/>
      <c r="U103" s="1051"/>
      <c r="V103" s="1052"/>
      <c r="W103" s="1052"/>
      <c r="X103" s="1052"/>
      <c r="Y103" s="1052"/>
      <c r="Z103" s="1051"/>
      <c r="AA103" s="1052"/>
      <c r="AB103" s="1052"/>
      <c r="AC103" s="1052"/>
      <c r="AD103" s="1052"/>
      <c r="AE103" s="1051"/>
      <c r="AF103" s="1052"/>
      <c r="AG103" s="1052"/>
      <c r="AH103" s="1052"/>
      <c r="AI103" s="1052"/>
      <c r="AJ103" s="1051"/>
      <c r="AK103" s="1052"/>
      <c r="AL103" s="1052"/>
      <c r="AM103" s="1052"/>
      <c r="AN103" s="1052"/>
      <c r="AO103" s="1051"/>
      <c r="AP103" s="1052"/>
      <c r="AQ103" s="1052"/>
      <c r="AR103" s="1052"/>
      <c r="AS103" s="1052"/>
      <c r="AT103" s="1051"/>
      <c r="AU103" s="1052"/>
      <c r="AV103" s="1052"/>
      <c r="AW103" s="1053"/>
      <c r="AX103" s="1052"/>
      <c r="AY103" s="1051"/>
      <c r="AZ103" s="1052"/>
      <c r="BA103" s="1052"/>
      <c r="BB103" s="1052"/>
      <c r="BC103" s="1052"/>
      <c r="BD103" s="1051"/>
      <c r="BE103" s="1051"/>
      <c r="BF103" s="1051"/>
      <c r="BG103" s="1051"/>
      <c r="BH103" s="1024"/>
    </row>
    <row r="104" spans="1:60" s="109" customFormat="1" ht="15" hidden="1" outlineLevel="1" x14ac:dyDescent="0.25">
      <c r="A104" s="213" t="s">
        <v>579</v>
      </c>
      <c r="B104" s="214"/>
      <c r="C104" s="1051">
        <v>21.11</v>
      </c>
      <c r="D104" s="1051">
        <v>70.542000000000002</v>
      </c>
      <c r="E104" s="1051">
        <v>84.397000000000006</v>
      </c>
      <c r="F104" s="1051">
        <v>50.317999999999998</v>
      </c>
      <c r="G104" s="1052">
        <v>8.8510000000000009</v>
      </c>
      <c r="H104" s="1052">
        <v>4.7430000000000003</v>
      </c>
      <c r="I104" s="1052">
        <v>145.97800000000001</v>
      </c>
      <c r="J104" s="1052">
        <f>K104-SUM(G104,H104,I104)</f>
        <v>307.50700000000001</v>
      </c>
      <c r="K104" s="1051">
        <v>467.07900000000001</v>
      </c>
      <c r="L104" s="1052">
        <v>332.108</v>
      </c>
      <c r="M104" s="1052">
        <v>276.3</v>
      </c>
      <c r="N104" s="1052"/>
      <c r="O104" s="1052"/>
      <c r="P104" s="1051"/>
      <c r="Q104" s="1052"/>
      <c r="R104" s="1052"/>
      <c r="S104" s="1052"/>
      <c r="T104" s="1052"/>
      <c r="U104" s="1051"/>
      <c r="V104" s="1052"/>
      <c r="W104" s="1052"/>
      <c r="X104" s="1052"/>
      <c r="Y104" s="1052"/>
      <c r="Z104" s="1051"/>
      <c r="AA104" s="1052"/>
      <c r="AB104" s="1052"/>
      <c r="AC104" s="1052"/>
      <c r="AD104" s="1052"/>
      <c r="AE104" s="1051"/>
      <c r="AF104" s="1052"/>
      <c r="AG104" s="1052"/>
      <c r="AH104" s="1052"/>
      <c r="AI104" s="1052"/>
      <c r="AJ104" s="1051"/>
      <c r="AK104" s="1052"/>
      <c r="AL104" s="1052"/>
      <c r="AM104" s="1052"/>
      <c r="AN104" s="1052"/>
      <c r="AO104" s="1051"/>
      <c r="AP104" s="1052"/>
      <c r="AQ104" s="1052"/>
      <c r="AR104" s="1052"/>
      <c r="AS104" s="1052"/>
      <c r="AT104" s="1051"/>
      <c r="AU104" s="1052"/>
      <c r="AV104" s="1052"/>
      <c r="AW104" s="1053"/>
      <c r="AX104" s="1052"/>
      <c r="AY104" s="1051"/>
      <c r="AZ104" s="1052"/>
      <c r="BA104" s="1052"/>
      <c r="BB104" s="1052"/>
      <c r="BC104" s="1052"/>
      <c r="BD104" s="1051"/>
      <c r="BE104" s="1051"/>
      <c r="BF104" s="1051"/>
      <c r="BG104" s="1051"/>
      <c r="BH104" s="1024"/>
    </row>
    <row r="105" spans="1:60" s="109" customFormat="1" ht="15" hidden="1" outlineLevel="1" x14ac:dyDescent="0.25">
      <c r="A105" s="213" t="s">
        <v>580</v>
      </c>
      <c r="B105" s="214"/>
      <c r="C105" s="1051">
        <v>0</v>
      </c>
      <c r="D105" s="1051">
        <v>4.3360000000000003</v>
      </c>
      <c r="E105" s="1051">
        <v>10.612</v>
      </c>
      <c r="F105" s="1051">
        <v>7.6130000000000004</v>
      </c>
      <c r="G105" s="1052">
        <v>0.44500000000000001</v>
      </c>
      <c r="H105" s="1052">
        <v>0.25900000000000001</v>
      </c>
      <c r="I105" s="1052">
        <v>0.157</v>
      </c>
      <c r="J105" s="1052">
        <f>K105-SUM(G105,H105,I105)</f>
        <v>0.14300000000000002</v>
      </c>
      <c r="K105" s="1051">
        <v>1.004</v>
      </c>
      <c r="L105" s="1052">
        <v>5.5E-2</v>
      </c>
      <c r="M105" s="1052">
        <v>141.47200000000001</v>
      </c>
      <c r="N105" s="1052"/>
      <c r="O105" s="1052"/>
      <c r="P105" s="1051"/>
      <c r="Q105" s="1052"/>
      <c r="R105" s="1052"/>
      <c r="S105" s="1052"/>
      <c r="T105" s="1052"/>
      <c r="U105" s="1051"/>
      <c r="V105" s="1052"/>
      <c r="W105" s="1052"/>
      <c r="X105" s="1052"/>
      <c r="Y105" s="1052"/>
      <c r="Z105" s="1051"/>
      <c r="AA105" s="1052"/>
      <c r="AB105" s="1052"/>
      <c r="AC105" s="1052"/>
      <c r="AD105" s="1052"/>
      <c r="AE105" s="1051"/>
      <c r="AF105" s="1052"/>
      <c r="AG105" s="1052"/>
      <c r="AH105" s="1052"/>
      <c r="AI105" s="1052"/>
      <c r="AJ105" s="1051"/>
      <c r="AK105" s="1052"/>
      <c r="AL105" s="1052"/>
      <c r="AM105" s="1052"/>
      <c r="AN105" s="1052"/>
      <c r="AO105" s="1051"/>
      <c r="AP105" s="1052"/>
      <c r="AQ105" s="1052"/>
      <c r="AR105" s="1052"/>
      <c r="AS105" s="1052"/>
      <c r="AT105" s="1051"/>
      <c r="AU105" s="1052"/>
      <c r="AV105" s="1052"/>
      <c r="AW105" s="1053"/>
      <c r="AX105" s="1052"/>
      <c r="AY105" s="1051"/>
      <c r="AZ105" s="1052"/>
      <c r="BA105" s="1052"/>
      <c r="BB105" s="1052"/>
      <c r="BC105" s="1052"/>
      <c r="BD105" s="1051"/>
      <c r="BE105" s="1051"/>
      <c r="BF105" s="1051"/>
      <c r="BG105" s="1051"/>
      <c r="BH105" s="1024"/>
    </row>
    <row r="106" spans="1:60" s="112" customFormat="1" ht="15" hidden="1" outlineLevel="1" x14ac:dyDescent="0.25">
      <c r="A106" s="622" t="s">
        <v>17</v>
      </c>
      <c r="B106" s="623"/>
      <c r="C106" s="1105">
        <f t="shared" ref="C106:M106" si="35">C103+C104+C105</f>
        <v>111.943</v>
      </c>
      <c r="D106" s="1105">
        <f t="shared" si="35"/>
        <v>116.744</v>
      </c>
      <c r="E106" s="1105">
        <f t="shared" si="35"/>
        <v>204.24199999999999</v>
      </c>
      <c r="F106" s="1105">
        <f t="shared" si="35"/>
        <v>413.25599999999997</v>
      </c>
      <c r="G106" s="1075">
        <f t="shared" si="35"/>
        <v>561.79200000000003</v>
      </c>
      <c r="H106" s="1075">
        <f t="shared" si="35"/>
        <v>405.13900000000001</v>
      </c>
      <c r="I106" s="1075">
        <f t="shared" si="35"/>
        <v>431.346</v>
      </c>
      <c r="J106" s="1075">
        <f t="shared" si="35"/>
        <v>615.21900000000005</v>
      </c>
      <c r="K106" s="1105">
        <f t="shared" si="35"/>
        <v>2013.4959999999999</v>
      </c>
      <c r="L106" s="1075">
        <f t="shared" si="35"/>
        <v>620.54200000000003</v>
      </c>
      <c r="M106" s="1075">
        <f t="shared" si="35"/>
        <v>769.34899999999993</v>
      </c>
      <c r="N106" s="1075"/>
      <c r="O106" s="1075"/>
      <c r="P106" s="1105"/>
      <c r="Q106" s="1075"/>
      <c r="R106" s="1075"/>
      <c r="S106" s="1075"/>
      <c r="T106" s="1075"/>
      <c r="U106" s="1105"/>
      <c r="V106" s="1075"/>
      <c r="W106" s="1075"/>
      <c r="X106" s="1075"/>
      <c r="Y106" s="1075"/>
      <c r="Z106" s="1105"/>
      <c r="AA106" s="1075"/>
      <c r="AB106" s="1075"/>
      <c r="AC106" s="1075"/>
      <c r="AD106" s="1075"/>
      <c r="AE106" s="1105"/>
      <c r="AF106" s="1075"/>
      <c r="AG106" s="1075"/>
      <c r="AH106" s="1075"/>
      <c r="AI106" s="1075"/>
      <c r="AJ106" s="1105"/>
      <c r="AK106" s="1075"/>
      <c r="AL106" s="1075"/>
      <c r="AM106" s="1075"/>
      <c r="AN106" s="1075"/>
      <c r="AO106" s="1105"/>
      <c r="AP106" s="1075"/>
      <c r="AQ106" s="1075"/>
      <c r="AR106" s="1075"/>
      <c r="AS106" s="1075"/>
      <c r="AT106" s="1105"/>
      <c r="AU106" s="1075"/>
      <c r="AV106" s="1075"/>
      <c r="AW106" s="1076"/>
      <c r="AX106" s="1075"/>
      <c r="AY106" s="1105"/>
      <c r="AZ106" s="1075"/>
      <c r="BA106" s="1075"/>
      <c r="BB106" s="1075"/>
      <c r="BC106" s="1075"/>
      <c r="BD106" s="1105"/>
      <c r="BE106" s="1105"/>
      <c r="BF106" s="1105"/>
      <c r="BG106" s="1105"/>
      <c r="BH106" s="1034"/>
    </row>
    <row r="107" spans="1:60" s="867" customFormat="1" ht="15" collapsed="1" x14ac:dyDescent="0.25">
      <c r="A107" s="875"/>
      <c r="B107" s="876"/>
      <c r="C107" s="135"/>
      <c r="D107" s="135"/>
      <c r="E107" s="135"/>
      <c r="F107" s="135"/>
      <c r="G107" s="136"/>
      <c r="H107" s="136"/>
      <c r="I107" s="136"/>
      <c r="J107" s="136"/>
      <c r="K107" s="135"/>
      <c r="L107" s="136"/>
      <c r="M107" s="136"/>
      <c r="N107" s="136"/>
      <c r="O107" s="136"/>
      <c r="P107" s="135"/>
      <c r="Q107" s="136"/>
      <c r="R107" s="136"/>
      <c r="S107" s="136"/>
      <c r="T107" s="136"/>
      <c r="U107" s="135"/>
      <c r="V107" s="136"/>
      <c r="W107" s="136"/>
      <c r="X107" s="136"/>
      <c r="Y107" s="136"/>
      <c r="Z107" s="135"/>
      <c r="AA107" s="136"/>
      <c r="AB107" s="136"/>
      <c r="AC107" s="136"/>
      <c r="AD107" s="136"/>
      <c r="AE107" s="135"/>
      <c r="AF107" s="136"/>
      <c r="AG107" s="136"/>
      <c r="AH107" s="136"/>
      <c r="AI107" s="136"/>
      <c r="AJ107" s="135"/>
      <c r="AK107" s="136"/>
      <c r="AL107" s="136"/>
      <c r="AM107" s="136"/>
      <c r="AN107" s="136"/>
      <c r="AO107" s="135"/>
      <c r="AP107" s="136"/>
      <c r="AQ107" s="136"/>
      <c r="AR107" s="136"/>
      <c r="AS107" s="136"/>
      <c r="AT107" s="135"/>
      <c r="AU107" s="136"/>
      <c r="AV107" s="136"/>
      <c r="AW107" s="762"/>
      <c r="AX107" s="877"/>
      <c r="AY107" s="878"/>
      <c r="AZ107" s="877"/>
      <c r="BA107" s="877"/>
      <c r="BB107" s="877"/>
      <c r="BC107" s="877"/>
      <c r="BD107" s="878"/>
      <c r="BE107" s="878"/>
      <c r="BF107" s="878"/>
      <c r="BG107" s="878"/>
      <c r="BH107" s="872"/>
    </row>
    <row r="108" spans="1:60" ht="15" x14ac:dyDescent="0.25">
      <c r="A108" s="866" t="s">
        <v>541</v>
      </c>
      <c r="B108" s="879"/>
      <c r="C108" s="886"/>
      <c r="D108" s="886"/>
      <c r="E108" s="886"/>
      <c r="F108" s="886"/>
      <c r="G108" s="886"/>
      <c r="H108" s="886"/>
      <c r="I108" s="886"/>
      <c r="J108" s="886"/>
      <c r="K108" s="886"/>
      <c r="L108" s="886"/>
      <c r="M108" s="886"/>
      <c r="N108" s="886"/>
      <c r="O108" s="886"/>
      <c r="P108" s="886"/>
      <c r="Q108" s="886"/>
      <c r="R108" s="886"/>
      <c r="S108" s="886"/>
      <c r="T108" s="886"/>
      <c r="U108" s="886"/>
      <c r="V108" s="886"/>
      <c r="W108" s="886"/>
      <c r="X108" s="886"/>
      <c r="Y108" s="886"/>
      <c r="Z108" s="886"/>
      <c r="AA108" s="886"/>
      <c r="AB108" s="886"/>
      <c r="AC108" s="886"/>
      <c r="AD108" s="886"/>
      <c r="AE108" s="886"/>
      <c r="AF108" s="886"/>
      <c r="AG108" s="886"/>
      <c r="AH108" s="886"/>
      <c r="AI108" s="886"/>
      <c r="AJ108" s="886"/>
      <c r="AK108" s="886"/>
      <c r="AL108" s="886"/>
      <c r="AM108" s="886"/>
      <c r="AN108" s="886"/>
      <c r="AO108" s="886"/>
      <c r="AP108" s="886"/>
      <c r="AQ108" s="886"/>
      <c r="AR108" s="886"/>
      <c r="AS108" s="886"/>
      <c r="AT108" s="886"/>
      <c r="AU108" s="886"/>
      <c r="AV108" s="886"/>
      <c r="AW108" s="886"/>
      <c r="AX108" s="880"/>
      <c r="AY108" s="880"/>
      <c r="AZ108" s="880"/>
      <c r="BA108" s="880"/>
      <c r="BB108" s="880"/>
      <c r="BC108" s="880"/>
      <c r="BD108" s="880"/>
      <c r="BE108" s="880"/>
      <c r="BF108" s="880"/>
      <c r="BG108" s="880"/>
      <c r="BH108" s="873"/>
    </row>
    <row r="109" spans="1:60" ht="15" x14ac:dyDescent="0.25">
      <c r="A109" s="873"/>
      <c r="B109" s="873"/>
      <c r="C109" s="887"/>
      <c r="D109" s="887"/>
      <c r="E109" s="887"/>
      <c r="F109" s="887"/>
      <c r="G109" s="377"/>
      <c r="H109" s="377"/>
      <c r="I109" s="377"/>
      <c r="J109" s="377"/>
      <c r="K109" s="887"/>
      <c r="L109" s="377"/>
      <c r="M109" s="377"/>
      <c r="N109" s="377"/>
      <c r="O109" s="377"/>
      <c r="P109" s="887"/>
      <c r="Q109" s="377"/>
      <c r="R109" s="377"/>
      <c r="S109" s="377"/>
      <c r="T109" s="377"/>
      <c r="U109" s="887"/>
      <c r="V109" s="377"/>
      <c r="W109" s="377"/>
      <c r="X109" s="377"/>
      <c r="Y109" s="377"/>
      <c r="Z109" s="887"/>
      <c r="AA109" s="377"/>
      <c r="AB109" s="377"/>
      <c r="AC109" s="377"/>
      <c r="AD109" s="377"/>
      <c r="AE109" s="887"/>
      <c r="AF109" s="377"/>
      <c r="AG109" s="377"/>
      <c r="AH109" s="377"/>
      <c r="AI109" s="377"/>
      <c r="AJ109" s="887"/>
      <c r="AK109" s="377"/>
      <c r="AL109" s="377"/>
      <c r="AM109" s="377"/>
      <c r="AN109" s="377"/>
      <c r="AO109" s="887"/>
      <c r="AP109" s="377"/>
      <c r="AQ109" s="377"/>
      <c r="AR109" s="377"/>
      <c r="AS109" s="377"/>
      <c r="AT109" s="887"/>
      <c r="AU109" s="377"/>
      <c r="AV109" s="377"/>
      <c r="AW109" s="377"/>
      <c r="AX109" s="377"/>
      <c r="AY109" s="873"/>
      <c r="AZ109" s="377"/>
      <c r="BA109" s="377"/>
      <c r="BB109" s="377"/>
      <c r="BC109" s="377"/>
      <c r="BD109" s="873"/>
      <c r="BE109" s="873"/>
      <c r="BF109" s="873"/>
      <c r="BG109" s="873"/>
      <c r="BH109" s="873"/>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T112"/>
  <sheetViews>
    <sheetView zoomScaleNormal="100" workbookViewId="0">
      <pane ySplit="5" topLeftCell="A6" activePane="bottomLeft" state="frozen"/>
      <selection pane="bottomLeft"/>
    </sheetView>
  </sheetViews>
  <sheetFormatPr defaultColWidth="8.85546875" defaultRowHeight="15" outlineLevelCol="1" x14ac:dyDescent="0.25"/>
  <cols>
    <col min="1" max="1" width="3" style="280" bestFit="1" customWidth="1"/>
    <col min="2" max="2" width="9.28515625" style="274" bestFit="1" customWidth="1"/>
    <col min="3" max="3" width="2.7109375" style="274" customWidth="1"/>
    <col min="4" max="4" width="28" style="281" customWidth="1"/>
    <col min="5" max="5" width="21.7109375" style="282" hidden="1" customWidth="1" outlineLevel="1"/>
    <col min="6" max="6" width="14.42578125" style="274" bestFit="1" customWidth="1" collapsed="1"/>
    <col min="7" max="7" width="2.7109375" style="274" customWidth="1"/>
    <col min="8" max="8" width="9.42578125" style="274" customWidth="1"/>
    <col min="9" max="10" width="10.42578125" style="274" bestFit="1" customWidth="1"/>
    <col min="11" max="11" width="2.7109375" style="274" customWidth="1"/>
    <col min="12" max="12" width="8.7109375" style="274" bestFit="1" customWidth="1"/>
    <col min="13" max="13" width="11.85546875" style="281" bestFit="1" customWidth="1"/>
    <col min="14" max="14" width="2.7109375" style="274" customWidth="1"/>
    <col min="15" max="15" width="13.42578125" style="274" bestFit="1" customWidth="1"/>
    <col min="16" max="16" width="14.28515625" style="283" bestFit="1" customWidth="1"/>
    <col min="17" max="17" width="2.7109375" style="274" customWidth="1"/>
    <col min="18" max="18" width="10.7109375" style="284" bestFit="1" customWidth="1"/>
    <col min="19" max="19" width="13.28515625" style="285" bestFit="1" customWidth="1"/>
    <col min="20" max="22" width="8.85546875" style="278" customWidth="1"/>
    <col min="23" max="16384" width="8.85546875" style="278"/>
  </cols>
  <sheetData>
    <row r="1" spans="1:20" s="274" customFormat="1" ht="28.5" x14ac:dyDescent="0.45">
      <c r="A1" s="286"/>
      <c r="B1" s="296" t="str">
        <f>MO.CompanyName</f>
        <v>Tesla, Inc.</v>
      </c>
      <c r="C1" s="301"/>
      <c r="D1" s="301"/>
      <c r="E1" s="298"/>
      <c r="F1" s="301"/>
      <c r="G1" s="301"/>
      <c r="H1" s="301"/>
      <c r="I1" s="301"/>
      <c r="J1" s="301"/>
      <c r="K1" s="301"/>
      <c r="L1" s="301"/>
      <c r="M1" s="301"/>
      <c r="N1" s="301"/>
      <c r="O1" s="301"/>
      <c r="P1" s="299"/>
      <c r="Q1" s="301"/>
      <c r="R1" s="300"/>
      <c r="S1" s="301"/>
      <c r="T1" s="301"/>
    </row>
    <row r="2" spans="1:20" s="274" customFormat="1" x14ac:dyDescent="0.25">
      <c r="A2" s="286"/>
      <c r="B2" s="297" t="s">
        <v>469</v>
      </c>
      <c r="C2" s="301"/>
      <c r="D2" s="301"/>
      <c r="E2" s="298"/>
      <c r="F2" s="301" t="str">
        <f>UL.MRQ</f>
        <v>Q3-2021</v>
      </c>
      <c r="G2" s="301"/>
      <c r="H2" s="301"/>
      <c r="I2" s="301"/>
      <c r="J2" s="301"/>
      <c r="K2" s="301"/>
      <c r="L2" s="301"/>
      <c r="M2" s="301"/>
      <c r="N2" s="301"/>
      <c r="O2" s="301"/>
      <c r="P2" s="299"/>
      <c r="Q2" s="301"/>
      <c r="R2" s="300"/>
      <c r="S2" s="301"/>
      <c r="T2" s="301"/>
    </row>
    <row r="3" spans="1:20" s="274" customFormat="1" x14ac:dyDescent="0.25">
      <c r="A3" s="286"/>
      <c r="B3" s="301"/>
      <c r="C3" s="301"/>
      <c r="D3" s="301"/>
      <c r="E3" s="298"/>
      <c r="F3" s="301"/>
      <c r="G3" s="301"/>
      <c r="H3" s="301"/>
      <c r="I3" s="301"/>
      <c r="J3" s="301"/>
      <c r="K3" s="301"/>
      <c r="L3" s="301"/>
      <c r="M3" s="301"/>
      <c r="N3" s="301"/>
      <c r="O3" s="301"/>
      <c r="P3" s="299"/>
      <c r="Q3" s="301"/>
      <c r="R3" s="301"/>
      <c r="S3" s="301"/>
      <c r="T3" s="301"/>
    </row>
    <row r="4" spans="1:20" s="275" customFormat="1" x14ac:dyDescent="0.25">
      <c r="A4" s="286"/>
      <c r="B4" s="305"/>
      <c r="C4" s="315"/>
      <c r="D4" s="305"/>
      <c r="E4" s="305"/>
      <c r="F4" s="305"/>
      <c r="G4" s="315"/>
      <c r="H4" s="306" t="s">
        <v>349</v>
      </c>
      <c r="I4" s="306"/>
      <c r="J4" s="306"/>
      <c r="K4" s="315"/>
      <c r="L4" s="306" t="s">
        <v>350</v>
      </c>
      <c r="M4" s="306"/>
      <c r="N4" s="315"/>
      <c r="O4" s="306" t="s">
        <v>351</v>
      </c>
      <c r="P4" s="306"/>
      <c r="Q4" s="315"/>
      <c r="R4" s="306" t="s">
        <v>352</v>
      </c>
      <c r="S4" s="306"/>
      <c r="T4" s="300"/>
    </row>
    <row r="5" spans="1:20" s="276" customFormat="1" x14ac:dyDescent="0.25">
      <c r="A5" s="286"/>
      <c r="B5" s="305" t="s">
        <v>353</v>
      </c>
      <c r="C5" s="316"/>
      <c r="D5" s="305" t="s">
        <v>354</v>
      </c>
      <c r="E5" s="305" t="s">
        <v>355</v>
      </c>
      <c r="F5" s="305" t="s">
        <v>356</v>
      </c>
      <c r="G5" s="316"/>
      <c r="H5" s="307" t="s">
        <v>325</v>
      </c>
      <c r="I5" s="307" t="s">
        <v>324</v>
      </c>
      <c r="J5" s="307" t="s">
        <v>357</v>
      </c>
      <c r="K5" s="316"/>
      <c r="L5" s="305" t="s">
        <v>353</v>
      </c>
      <c r="M5" s="307" t="s">
        <v>358</v>
      </c>
      <c r="N5" s="316"/>
      <c r="O5" s="307" t="s">
        <v>359</v>
      </c>
      <c r="P5" s="308" t="s">
        <v>360</v>
      </c>
      <c r="Q5" s="316"/>
      <c r="R5" s="307" t="s">
        <v>361</v>
      </c>
      <c r="S5" s="307" t="s">
        <v>362</v>
      </c>
      <c r="T5" s="304"/>
    </row>
    <row r="6" spans="1:20" s="523" customFormat="1" x14ac:dyDescent="0.25">
      <c r="A6" s="515">
        <v>105</v>
      </c>
      <c r="B6" s="516" t="str">
        <f>IF(INDEX(MO_SNA_IsHistoricalPeriod,,MATCH(F6,MO_Common_ColumnHeader,0)),"Historical","Forward")</f>
        <v>Forward</v>
      </c>
      <c r="C6" s="517"/>
      <c r="D6" s="518" t="str">
        <f ca="1">INDEX(INDIRECT(E6),0,COLUMN(MO_Common_Column_A))</f>
        <v>Capex</v>
      </c>
      <c r="E6" s="519" t="s">
        <v>367</v>
      </c>
      <c r="F6" s="516" t="s">
        <v>575</v>
      </c>
      <c r="G6" s="517"/>
      <c r="H6" s="520">
        <v>-7000</v>
      </c>
      <c r="I6" s="520">
        <v>-5000</v>
      </c>
      <c r="J6" s="520">
        <f>AVERAGE(H6:I6)</f>
        <v>-6000</v>
      </c>
      <c r="K6" s="517"/>
      <c r="L6" s="516" t="str">
        <f>IF(INDEX(MO_SNA_IsHistoricalPeriod,,MATCH(F6,MO_Common_ColumnHeader,0)),"Actual","Estimate")</f>
        <v>Estimate</v>
      </c>
      <c r="M6" s="520">
        <f ca="1">IFERROR(INDEX(INDIRECT(E6),0,MATCH(F6,MO_Common_ColumnHeader,0)),"N/A")</f>
        <v>-6000</v>
      </c>
      <c r="N6" s="517"/>
      <c r="O6" s="521">
        <f ca="1">IF(ISNUMBER(M6),M6-J6,"N/A")</f>
        <v>0</v>
      </c>
      <c r="P6" s="616">
        <f ca="1">IFERROR(IF(ISNUMBER(M6),(M6-J6)/ABS(J6),"N/A"),"N/A")</f>
        <v>0</v>
      </c>
      <c r="Q6" s="517"/>
      <c r="R6" s="522">
        <v>44494</v>
      </c>
      <c r="S6" s="446" t="s">
        <v>496</v>
      </c>
      <c r="T6" s="517"/>
    </row>
    <row r="7" spans="1:20" s="523" customFormat="1" x14ac:dyDescent="0.25">
      <c r="A7" s="515">
        <v>104</v>
      </c>
      <c r="B7" s="517"/>
      <c r="C7" s="517"/>
      <c r="D7" s="524"/>
      <c r="E7" s="517"/>
      <c r="F7" s="517"/>
      <c r="G7" s="517"/>
      <c r="H7" s="517"/>
      <c r="I7" s="517"/>
      <c r="J7" s="517"/>
      <c r="K7" s="517"/>
      <c r="L7" s="517"/>
      <c r="M7" s="517"/>
      <c r="N7" s="517"/>
      <c r="O7" s="524"/>
      <c r="P7" s="524"/>
      <c r="Q7" s="517"/>
      <c r="R7" s="517"/>
      <c r="S7" s="525"/>
      <c r="T7" s="517"/>
    </row>
    <row r="8" spans="1:20" s="523" customFormat="1" x14ac:dyDescent="0.25">
      <c r="A8" s="515">
        <v>103</v>
      </c>
      <c r="B8" s="516" t="str">
        <f>IF(INDEX(MO_SNA_IsHistoricalPeriod,,MATCH(F8,MO_Common_ColumnHeader,0)),"Historical","Forward")</f>
        <v>Forward</v>
      </c>
      <c r="C8" s="517"/>
      <c r="D8" s="518" t="str">
        <f ca="1">INDEX(INDIRECT(E8),0,COLUMN(MO_Common_Column_A))</f>
        <v>Capex</v>
      </c>
      <c r="E8" s="519" t="s">
        <v>367</v>
      </c>
      <c r="F8" s="516" t="s">
        <v>495</v>
      </c>
      <c r="G8" s="517"/>
      <c r="H8" s="520">
        <v>-7000</v>
      </c>
      <c r="I8" s="520">
        <v>-5000</v>
      </c>
      <c r="J8" s="520">
        <f>AVERAGE(H8:I8)</f>
        <v>-6000</v>
      </c>
      <c r="K8" s="517"/>
      <c r="L8" s="516" t="str">
        <f>IF(INDEX(MO_SNA_IsHistoricalPeriod,,MATCH(F8,MO_Common_ColumnHeader,0)),"Actual","Estimate")</f>
        <v>Estimate</v>
      </c>
      <c r="M8" s="520">
        <f ca="1">IFERROR(INDEX(INDIRECT(E8),0,MATCH(F8,MO_Common_ColumnHeader,0)),"N/A")</f>
        <v>-6000</v>
      </c>
      <c r="N8" s="517"/>
      <c r="O8" s="521">
        <f ca="1">IF(ISNUMBER(M8),M8-J8,"N/A")</f>
        <v>0</v>
      </c>
      <c r="P8" s="616">
        <f ca="1">IFERROR(IF(ISNUMBER(M8),(M8-J8)/ABS(J8),"N/A"),"N/A")</f>
        <v>0</v>
      </c>
      <c r="Q8" s="517"/>
      <c r="R8" s="522">
        <v>44494</v>
      </c>
      <c r="S8" s="446" t="s">
        <v>496</v>
      </c>
      <c r="T8" s="517"/>
    </row>
    <row r="9" spans="1:20" s="523" customFormat="1" x14ac:dyDescent="0.25">
      <c r="A9" s="515">
        <v>102</v>
      </c>
      <c r="B9" s="517"/>
      <c r="C9" s="517"/>
      <c r="D9" s="524"/>
      <c r="E9" s="517"/>
      <c r="F9" s="517"/>
      <c r="G9" s="517"/>
      <c r="H9" s="517"/>
      <c r="I9" s="517"/>
      <c r="J9" s="517"/>
      <c r="K9" s="517"/>
      <c r="L9" s="517"/>
      <c r="M9" s="517"/>
      <c r="N9" s="517"/>
      <c r="O9" s="524"/>
      <c r="P9" s="524"/>
      <c r="Q9" s="517"/>
      <c r="R9" s="517"/>
      <c r="S9" s="525"/>
      <c r="T9" s="517"/>
    </row>
    <row r="10" spans="1:20" s="523" customFormat="1" x14ac:dyDescent="0.25">
      <c r="A10" s="515">
        <v>101</v>
      </c>
      <c r="B10" s="516" t="str">
        <f>IF(INDEX(MO_SNA_IsHistoricalPeriod,,MATCH(F10,MO_Common_ColumnHeader,0)),"Historical","Forward")</f>
        <v>Forward</v>
      </c>
      <c r="C10" s="517"/>
      <c r="D10" s="518" t="str">
        <f ca="1">INDEX(INDIRECT(E10),0,COLUMN(MO_Common_Column_A))</f>
        <v>Capex</v>
      </c>
      <c r="E10" s="519" t="s">
        <v>367</v>
      </c>
      <c r="F10" s="516" t="s">
        <v>497</v>
      </c>
      <c r="G10" s="517"/>
      <c r="H10" s="520">
        <v>-6000</v>
      </c>
      <c r="I10" s="520">
        <v>-6000</v>
      </c>
      <c r="J10" s="520">
        <f>AVERAGE(H10:I10)</f>
        <v>-6000</v>
      </c>
      <c r="K10" s="517"/>
      <c r="L10" s="516" t="str">
        <f>IF(INDEX(MO_SNA_IsHistoricalPeriod,,MATCH(F10,MO_Common_ColumnHeader,0)),"Actual","Estimate")</f>
        <v>Estimate</v>
      </c>
      <c r="M10" s="520">
        <f ca="1">IFERROR(INDEX(INDIRECT(E10),0,MATCH(F10,MO_Common_ColumnHeader,0)),"N/A")</f>
        <v>-5900</v>
      </c>
      <c r="N10" s="517"/>
      <c r="O10" s="521">
        <f ca="1">IF(ISNUMBER(M10),M10-J10,"N/A")</f>
        <v>100</v>
      </c>
      <c r="P10" s="616">
        <f ca="1">IFERROR(IF(ISNUMBER(M10),(M10-J10)/ABS(J10),"N/A"),"N/A")</f>
        <v>1.6666666666666666E-2</v>
      </c>
      <c r="Q10" s="517"/>
      <c r="R10" s="522">
        <v>44494</v>
      </c>
      <c r="S10" s="446" t="s">
        <v>496</v>
      </c>
      <c r="T10" s="517"/>
    </row>
    <row r="11" spans="1:20" s="523" customFormat="1" x14ac:dyDescent="0.25">
      <c r="A11" s="515">
        <v>100</v>
      </c>
      <c r="B11" s="517"/>
      <c r="C11" s="517"/>
      <c r="D11" s="524"/>
      <c r="E11" s="517"/>
      <c r="F11" s="517"/>
      <c r="G11" s="517"/>
      <c r="H11" s="517"/>
      <c r="I11" s="517"/>
      <c r="J11" s="517"/>
      <c r="K11" s="517"/>
      <c r="L11" s="517"/>
      <c r="M11" s="517"/>
      <c r="N11" s="517"/>
      <c r="O11" s="524"/>
      <c r="P11" s="524"/>
      <c r="Q11" s="517"/>
      <c r="R11" s="517"/>
      <c r="S11" s="525"/>
      <c r="T11" s="517"/>
    </row>
    <row r="12" spans="1:20" x14ac:dyDescent="0.25">
      <c r="A12" s="286">
        <v>99</v>
      </c>
      <c r="B12" s="309" t="str">
        <f>IF(INDEX(MO_SNA_IsHistoricalPeriod,,MATCH(F12,MO_Common_ColumnHeader,0)),"Historical","Forward")</f>
        <v>Forward</v>
      </c>
      <c r="C12" s="301"/>
      <c r="D12" s="317" t="str">
        <f ca="1">INDEX(INDIRECT(E12),0,COLUMN(MO_Common_Column_A))</f>
        <v>Y/Y Total deliveries growth, %</v>
      </c>
      <c r="E12" s="310" t="s">
        <v>587</v>
      </c>
      <c r="F12" s="309" t="s">
        <v>497</v>
      </c>
      <c r="G12" s="301"/>
      <c r="H12" s="313">
        <v>0.5</v>
      </c>
      <c r="I12" s="313">
        <v>0.5</v>
      </c>
      <c r="J12" s="313">
        <f>AVERAGE(H12:I12)</f>
        <v>0.5</v>
      </c>
      <c r="K12" s="299"/>
      <c r="L12" s="309" t="str">
        <f>IF(INDEX(MO_SNA_IsHistoricalPeriod,,MATCH(F12,MO_Common_ColumnHeader,0)),"Actual","Estimate")</f>
        <v>Estimate</v>
      </c>
      <c r="M12" s="313">
        <f ca="1">IFERROR(INDEX(INDIRECT(E12),0,MATCH(F12,MO_Common_ColumnHeader,0)),"N/A")</f>
        <v>0.87366680876698943</v>
      </c>
      <c r="N12" s="299"/>
      <c r="O12" s="319">
        <f ca="1">IF(ISNUMBER(M12),M12-J12,"N/A")</f>
        <v>0.37366680876698943</v>
      </c>
      <c r="P12" s="319">
        <f ca="1">IFERROR(IF(ISNUMBER(M12),(M12-J12)/ABS(J12),"N/A"),"N/A")</f>
        <v>0.74733361753397887</v>
      </c>
      <c r="Q12" s="301"/>
      <c r="R12" s="312">
        <v>44489</v>
      </c>
      <c r="S12" s="446" t="s">
        <v>365</v>
      </c>
      <c r="T12" s="301"/>
    </row>
    <row r="13" spans="1:20" s="523" customFormat="1" x14ac:dyDescent="0.25">
      <c r="A13" s="515">
        <v>98</v>
      </c>
      <c r="B13" s="517"/>
      <c r="C13" s="517"/>
      <c r="D13" s="524"/>
      <c r="E13" s="517"/>
      <c r="F13" s="517"/>
      <c r="G13" s="517"/>
      <c r="H13" s="517"/>
      <c r="I13" s="517"/>
      <c r="J13" s="517"/>
      <c r="K13" s="517"/>
      <c r="L13" s="517"/>
      <c r="M13" s="517"/>
      <c r="N13" s="517"/>
      <c r="O13" s="524"/>
      <c r="P13" s="524"/>
      <c r="Q13" s="517"/>
      <c r="R13" s="517"/>
      <c r="S13" s="525"/>
      <c r="T13" s="517"/>
    </row>
    <row r="14" spans="1:20" s="523" customFormat="1" x14ac:dyDescent="0.25">
      <c r="A14" s="515">
        <v>97</v>
      </c>
      <c r="B14" s="516" t="str">
        <f>IF(INDEX(MO_SNA_IsHistoricalPeriod,,MATCH(F14,MO_Common_ColumnHeader,0)),"Historical","Forward")</f>
        <v>Forward</v>
      </c>
      <c r="C14" s="517"/>
      <c r="D14" s="518" t="str">
        <f ca="1">INDEX(INDIRECT(E14),0,COLUMN(MO_Common_Column_A))</f>
        <v>Capex</v>
      </c>
      <c r="E14" s="519" t="s">
        <v>367</v>
      </c>
      <c r="F14" s="516" t="s">
        <v>575</v>
      </c>
      <c r="G14" s="517"/>
      <c r="H14" s="520">
        <v>-6000</v>
      </c>
      <c r="I14" s="520">
        <v>-4500</v>
      </c>
      <c r="J14" s="520">
        <f>AVERAGE(H14:I14)</f>
        <v>-5250</v>
      </c>
      <c r="K14" s="517"/>
      <c r="L14" s="516" t="str">
        <f>IF(INDEX(MO_SNA_IsHistoricalPeriod,,MATCH(F14,MO_Common_ColumnHeader,0)),"Actual","Estimate")</f>
        <v>Estimate</v>
      </c>
      <c r="M14" s="520">
        <f ca="1">IFERROR(INDEX(INDIRECT(E14),0,MATCH(F14,MO_Common_ColumnHeader,0)),"N/A")</f>
        <v>-6000</v>
      </c>
      <c r="N14" s="517"/>
      <c r="O14" s="521">
        <f ca="1">IF(ISNUMBER(M14),M14-J14,"N/A")</f>
        <v>-750</v>
      </c>
      <c r="P14" s="616">
        <f ca="1">IFERROR(IF(ISNUMBER(M14),(M14-J14)/ABS(J14),"N/A"),"N/A")</f>
        <v>-0.14285714285714285</v>
      </c>
      <c r="Q14" s="517"/>
      <c r="R14" s="522">
        <v>44404</v>
      </c>
      <c r="S14" s="446" t="s">
        <v>496</v>
      </c>
      <c r="T14" s="517"/>
    </row>
    <row r="15" spans="1:20" s="523" customFormat="1" x14ac:dyDescent="0.25">
      <c r="A15" s="515">
        <v>96</v>
      </c>
      <c r="B15" s="517"/>
      <c r="C15" s="517"/>
      <c r="D15" s="524"/>
      <c r="E15" s="517"/>
      <c r="F15" s="517"/>
      <c r="G15" s="517"/>
      <c r="H15" s="517"/>
      <c r="I15" s="517"/>
      <c r="J15" s="517"/>
      <c r="K15" s="517"/>
      <c r="L15" s="517"/>
      <c r="M15" s="517"/>
      <c r="N15" s="517"/>
      <c r="O15" s="524"/>
      <c r="P15" s="524"/>
      <c r="Q15" s="517"/>
      <c r="R15" s="517"/>
      <c r="S15" s="525"/>
      <c r="T15" s="517"/>
    </row>
    <row r="16" spans="1:20" s="523" customFormat="1" x14ac:dyDescent="0.25">
      <c r="A16" s="515">
        <v>95</v>
      </c>
      <c r="B16" s="516" t="str">
        <f>IF(INDEX(MO_SNA_IsHistoricalPeriod,,MATCH(F16,MO_Common_ColumnHeader,0)),"Historical","Forward")</f>
        <v>Forward</v>
      </c>
      <c r="C16" s="517"/>
      <c r="D16" s="518" t="str">
        <f ca="1">INDEX(INDIRECT(E16),0,COLUMN(MO_Common_Column_A))</f>
        <v>Capex</v>
      </c>
      <c r="E16" s="519" t="s">
        <v>367</v>
      </c>
      <c r="F16" s="516" t="s">
        <v>495</v>
      </c>
      <c r="G16" s="517"/>
      <c r="H16" s="520">
        <v>-6000</v>
      </c>
      <c r="I16" s="520">
        <v>-4500</v>
      </c>
      <c r="J16" s="520">
        <f>AVERAGE(H16:I16)</f>
        <v>-5250</v>
      </c>
      <c r="K16" s="517"/>
      <c r="L16" s="516" t="str">
        <f>IF(INDEX(MO_SNA_IsHistoricalPeriod,,MATCH(F16,MO_Common_ColumnHeader,0)),"Actual","Estimate")</f>
        <v>Estimate</v>
      </c>
      <c r="M16" s="520">
        <f ca="1">IFERROR(INDEX(INDIRECT(E16),0,MATCH(F16,MO_Common_ColumnHeader,0)),"N/A")</f>
        <v>-6000</v>
      </c>
      <c r="N16" s="517"/>
      <c r="O16" s="521">
        <f ca="1">IF(ISNUMBER(M16),M16-J16,"N/A")</f>
        <v>-750</v>
      </c>
      <c r="P16" s="616">
        <f ca="1">IFERROR(IF(ISNUMBER(M16),(M16-J16)/ABS(J16),"N/A"),"N/A")</f>
        <v>-0.14285714285714285</v>
      </c>
      <c r="Q16" s="517"/>
      <c r="R16" s="522">
        <v>44404</v>
      </c>
      <c r="S16" s="446" t="s">
        <v>496</v>
      </c>
      <c r="T16" s="517"/>
    </row>
    <row r="17" spans="1:20" s="523" customFormat="1" x14ac:dyDescent="0.25">
      <c r="A17" s="515">
        <v>94</v>
      </c>
      <c r="B17" s="517"/>
      <c r="C17" s="517"/>
      <c r="D17" s="524"/>
      <c r="E17" s="517"/>
      <c r="F17" s="517"/>
      <c r="G17" s="517"/>
      <c r="H17" s="517"/>
      <c r="I17" s="517"/>
      <c r="J17" s="517"/>
      <c r="K17" s="517"/>
      <c r="L17" s="517"/>
      <c r="M17" s="517"/>
      <c r="N17" s="517"/>
      <c r="O17" s="524"/>
      <c r="P17" s="524"/>
      <c r="Q17" s="517"/>
      <c r="R17" s="517"/>
      <c r="S17" s="525"/>
      <c r="T17" s="517"/>
    </row>
    <row r="18" spans="1:20" s="523" customFormat="1" x14ac:dyDescent="0.25">
      <c r="A18" s="515">
        <v>93</v>
      </c>
      <c r="B18" s="516" t="str">
        <f>IF(INDEX(MO_SNA_IsHistoricalPeriod,,MATCH(F18,MO_Common_ColumnHeader,0)),"Historical","Forward")</f>
        <v>Forward</v>
      </c>
      <c r="C18" s="517"/>
      <c r="D18" s="518" t="str">
        <f ca="1">INDEX(INDIRECT(E18),0,COLUMN(MO_Common_Column_A))</f>
        <v>Capex</v>
      </c>
      <c r="E18" s="519" t="s">
        <v>367</v>
      </c>
      <c r="F18" s="516" t="s">
        <v>497</v>
      </c>
      <c r="G18" s="517"/>
      <c r="H18" s="520">
        <v>-6000</v>
      </c>
      <c r="I18" s="520">
        <v>-4500</v>
      </c>
      <c r="J18" s="520">
        <f>AVERAGE(H18:I18)</f>
        <v>-5250</v>
      </c>
      <c r="K18" s="517"/>
      <c r="L18" s="516" t="str">
        <f>IF(INDEX(MO_SNA_IsHistoricalPeriod,,MATCH(F18,MO_Common_ColumnHeader,0)),"Actual","Estimate")</f>
        <v>Estimate</v>
      </c>
      <c r="M18" s="520">
        <f ca="1">IFERROR(INDEX(INDIRECT(E18),0,MATCH(F18,MO_Common_ColumnHeader,0)),"N/A")</f>
        <v>-5900</v>
      </c>
      <c r="N18" s="517"/>
      <c r="O18" s="521">
        <f ca="1">IF(ISNUMBER(M18),M18-J18,"N/A")</f>
        <v>-650</v>
      </c>
      <c r="P18" s="616">
        <f ca="1">IFERROR(IF(ISNUMBER(M18),(M18-J18)/ABS(J18),"N/A"),"N/A")</f>
        <v>-0.12380952380952381</v>
      </c>
      <c r="Q18" s="517"/>
      <c r="R18" s="522">
        <v>44404</v>
      </c>
      <c r="S18" s="446" t="s">
        <v>496</v>
      </c>
      <c r="T18" s="517"/>
    </row>
    <row r="19" spans="1:20" s="523" customFormat="1" x14ac:dyDescent="0.25">
      <c r="A19" s="515">
        <v>92</v>
      </c>
      <c r="B19" s="517"/>
      <c r="C19" s="517"/>
      <c r="D19" s="524"/>
      <c r="E19" s="517"/>
      <c r="F19" s="517"/>
      <c r="G19" s="517"/>
      <c r="H19" s="517"/>
      <c r="I19" s="517"/>
      <c r="J19" s="517"/>
      <c r="K19" s="517"/>
      <c r="L19" s="517"/>
      <c r="M19" s="517"/>
      <c r="N19" s="517"/>
      <c r="O19" s="524"/>
      <c r="P19" s="524"/>
      <c r="Q19" s="517"/>
      <c r="R19" s="517"/>
      <c r="S19" s="525"/>
      <c r="T19" s="517"/>
    </row>
    <row r="20" spans="1:20" x14ac:dyDescent="0.25">
      <c r="A20" s="286">
        <v>91</v>
      </c>
      <c r="B20" s="309" t="str">
        <f>IF(INDEX(MO_SNA_IsHistoricalPeriod,,MATCH(F20,MO_Common_ColumnHeader,0)),"Historical","Forward")</f>
        <v>Forward</v>
      </c>
      <c r="C20" s="301"/>
      <c r="D20" s="317" t="str">
        <f ca="1">INDEX(INDIRECT(E20),0,COLUMN(MO_Common_Column_A))</f>
        <v>Y/Y Total deliveries growth, %</v>
      </c>
      <c r="E20" s="310" t="s">
        <v>587</v>
      </c>
      <c r="F20" s="309" t="s">
        <v>497</v>
      </c>
      <c r="G20" s="301"/>
      <c r="H20" s="313">
        <v>0.5</v>
      </c>
      <c r="I20" s="313">
        <v>0.5</v>
      </c>
      <c r="J20" s="313">
        <f>AVERAGE(H20:I20)</f>
        <v>0.5</v>
      </c>
      <c r="K20" s="299"/>
      <c r="L20" s="309" t="str">
        <f>IF(INDEX(MO_SNA_IsHistoricalPeriod,,MATCH(F20,MO_Common_ColumnHeader,0)),"Actual","Estimate")</f>
        <v>Estimate</v>
      </c>
      <c r="M20" s="313">
        <f ca="1">IFERROR(INDEX(INDIRECT(E20),0,MATCH(F20,MO_Common_ColumnHeader,0)),"N/A")</f>
        <v>0.87366680876698943</v>
      </c>
      <c r="N20" s="299"/>
      <c r="O20" s="319">
        <f ca="1">IF(ISNUMBER(M20),M20-J20,"N/A")</f>
        <v>0.37366680876698943</v>
      </c>
      <c r="P20" s="319">
        <f ca="1">IFERROR(IF(ISNUMBER(M20),(M20-J20)/ABS(J20),"N/A"),"N/A")</f>
        <v>0.74733361753397887</v>
      </c>
      <c r="Q20" s="301"/>
      <c r="R20" s="312">
        <v>44403</v>
      </c>
      <c r="S20" s="446" t="s">
        <v>365</v>
      </c>
      <c r="T20" s="301"/>
    </row>
    <row r="21" spans="1:20" s="523" customFormat="1" x14ac:dyDescent="0.25">
      <c r="A21" s="515">
        <v>90</v>
      </c>
      <c r="B21" s="517"/>
      <c r="C21" s="517"/>
      <c r="D21" s="524"/>
      <c r="E21" s="517"/>
      <c r="F21" s="517"/>
      <c r="G21" s="517"/>
      <c r="H21" s="517"/>
      <c r="I21" s="517"/>
      <c r="J21" s="517"/>
      <c r="K21" s="517"/>
      <c r="L21" s="517"/>
      <c r="M21" s="517"/>
      <c r="N21" s="517"/>
      <c r="O21" s="524"/>
      <c r="P21" s="524"/>
      <c r="Q21" s="517"/>
      <c r="R21" s="517"/>
      <c r="S21" s="525"/>
      <c r="T21" s="517"/>
    </row>
    <row r="22" spans="1:20" s="523" customFormat="1" x14ac:dyDescent="0.25">
      <c r="A22" s="515">
        <v>89</v>
      </c>
      <c r="B22" s="516" t="str">
        <f>IF(INDEX(MO_SNA_IsHistoricalPeriod,,MATCH(F22,MO_Common_ColumnHeader,0)),"Historical","Forward")</f>
        <v>Forward</v>
      </c>
      <c r="C22" s="517"/>
      <c r="D22" s="518" t="str">
        <f ca="1">INDEX(INDIRECT(E22),0,COLUMN(MO_Common_Column_A))</f>
        <v>Capex</v>
      </c>
      <c r="E22" s="519" t="s">
        <v>367</v>
      </c>
      <c r="F22" s="516" t="s">
        <v>575</v>
      </c>
      <c r="G22" s="517"/>
      <c r="H22" s="520">
        <v>-6000</v>
      </c>
      <c r="I22" s="520">
        <v>-4500</v>
      </c>
      <c r="J22" s="520">
        <f>AVERAGE(H22:I22)</f>
        <v>-5250</v>
      </c>
      <c r="K22" s="517"/>
      <c r="L22" s="516" t="str">
        <f>IF(INDEX(MO_SNA_IsHistoricalPeriod,,MATCH(F22,MO_Common_ColumnHeader,0)),"Actual","Estimate")</f>
        <v>Estimate</v>
      </c>
      <c r="M22" s="520">
        <f ca="1">IFERROR(INDEX(INDIRECT(E22),0,MATCH(F22,MO_Common_ColumnHeader,0)),"N/A")</f>
        <v>-6000</v>
      </c>
      <c r="N22" s="517"/>
      <c r="O22" s="521">
        <f ca="1">IF(ISNUMBER(M22),M22-J22,"N/A")</f>
        <v>-750</v>
      </c>
      <c r="P22" s="616">
        <f ca="1">IFERROR(IF(ISNUMBER(M22),(M22-J22)/ABS(J22),"N/A"),"N/A")</f>
        <v>-0.14285714285714285</v>
      </c>
      <c r="Q22" s="517"/>
      <c r="R22" s="522">
        <v>44314</v>
      </c>
      <c r="S22" s="446" t="s">
        <v>496</v>
      </c>
      <c r="T22" s="517"/>
    </row>
    <row r="23" spans="1:20" s="523" customFormat="1" x14ac:dyDescent="0.25">
      <c r="A23" s="515">
        <v>88</v>
      </c>
      <c r="B23" s="517"/>
      <c r="C23" s="517"/>
      <c r="D23" s="524"/>
      <c r="E23" s="517"/>
      <c r="F23" s="517"/>
      <c r="G23" s="517"/>
      <c r="H23" s="517"/>
      <c r="I23" s="517"/>
      <c r="J23" s="517"/>
      <c r="K23" s="517"/>
      <c r="L23" s="517"/>
      <c r="M23" s="517"/>
      <c r="N23" s="517"/>
      <c r="O23" s="524"/>
      <c r="P23" s="524"/>
      <c r="Q23" s="517"/>
      <c r="R23" s="517"/>
      <c r="S23" s="525"/>
      <c r="T23" s="517"/>
    </row>
    <row r="24" spans="1:20" s="523" customFormat="1" x14ac:dyDescent="0.25">
      <c r="A24" s="515">
        <v>87</v>
      </c>
      <c r="B24" s="516" t="str">
        <f>IF(INDEX(MO_SNA_IsHistoricalPeriod,,MATCH(F24,MO_Common_ColumnHeader,0)),"Historical","Forward")</f>
        <v>Forward</v>
      </c>
      <c r="C24" s="517"/>
      <c r="D24" s="518" t="str">
        <f ca="1">INDEX(INDIRECT(E24),0,COLUMN(MO_Common_Column_A))</f>
        <v>Capex</v>
      </c>
      <c r="E24" s="519" t="s">
        <v>367</v>
      </c>
      <c r="F24" s="516" t="s">
        <v>495</v>
      </c>
      <c r="G24" s="517"/>
      <c r="H24" s="520">
        <v>-6000</v>
      </c>
      <c r="I24" s="520">
        <v>-4500</v>
      </c>
      <c r="J24" s="520">
        <f>AVERAGE(H24:I24)</f>
        <v>-5250</v>
      </c>
      <c r="K24" s="517"/>
      <c r="L24" s="516" t="str">
        <f>IF(INDEX(MO_SNA_IsHistoricalPeriod,,MATCH(F24,MO_Common_ColumnHeader,0)),"Actual","Estimate")</f>
        <v>Estimate</v>
      </c>
      <c r="M24" s="520">
        <f ca="1">IFERROR(INDEX(INDIRECT(E24),0,MATCH(F24,MO_Common_ColumnHeader,0)),"N/A")</f>
        <v>-6000</v>
      </c>
      <c r="N24" s="517"/>
      <c r="O24" s="521">
        <f ca="1">IF(ISNUMBER(M24),M24-J24,"N/A")</f>
        <v>-750</v>
      </c>
      <c r="P24" s="616">
        <f ca="1">IFERROR(IF(ISNUMBER(M24),(M24-J24)/ABS(J24),"N/A"),"N/A")</f>
        <v>-0.14285714285714285</v>
      </c>
      <c r="Q24" s="517"/>
      <c r="R24" s="522">
        <v>44314</v>
      </c>
      <c r="S24" s="446" t="s">
        <v>496</v>
      </c>
      <c r="T24" s="517"/>
    </row>
    <row r="25" spans="1:20" s="523" customFormat="1" x14ac:dyDescent="0.25">
      <c r="A25" s="515">
        <v>86</v>
      </c>
      <c r="B25" s="517"/>
      <c r="C25" s="517"/>
      <c r="D25" s="524"/>
      <c r="E25" s="517"/>
      <c r="F25" s="517"/>
      <c r="G25" s="517"/>
      <c r="H25" s="517"/>
      <c r="I25" s="517"/>
      <c r="J25" s="517"/>
      <c r="K25" s="517"/>
      <c r="L25" s="517"/>
      <c r="M25" s="517"/>
      <c r="N25" s="517"/>
      <c r="O25" s="524"/>
      <c r="P25" s="524"/>
      <c r="Q25" s="517"/>
      <c r="R25" s="517"/>
      <c r="S25" s="525"/>
      <c r="T25" s="517"/>
    </row>
    <row r="26" spans="1:20" s="523" customFormat="1" x14ac:dyDescent="0.25">
      <c r="A26" s="515">
        <v>85</v>
      </c>
      <c r="B26" s="516" t="str">
        <f>IF(INDEX(MO_SNA_IsHistoricalPeriod,,MATCH(F26,MO_Common_ColumnHeader,0)),"Historical","Forward")</f>
        <v>Forward</v>
      </c>
      <c r="C26" s="517"/>
      <c r="D26" s="518" t="str">
        <f ca="1">INDEX(INDIRECT(E26),0,COLUMN(MO_Common_Column_A))</f>
        <v>Capex</v>
      </c>
      <c r="E26" s="519" t="s">
        <v>367</v>
      </c>
      <c r="F26" s="516" t="s">
        <v>497</v>
      </c>
      <c r="G26" s="517"/>
      <c r="H26" s="520">
        <v>-6000</v>
      </c>
      <c r="I26" s="520">
        <v>-4500</v>
      </c>
      <c r="J26" s="520">
        <f>AVERAGE(H26:I26)</f>
        <v>-5250</v>
      </c>
      <c r="K26" s="517"/>
      <c r="L26" s="516" t="str">
        <f>IF(INDEX(MO_SNA_IsHistoricalPeriod,,MATCH(F26,MO_Common_ColumnHeader,0)),"Actual","Estimate")</f>
        <v>Estimate</v>
      </c>
      <c r="M26" s="520">
        <f ca="1">IFERROR(INDEX(INDIRECT(E26),0,MATCH(F26,MO_Common_ColumnHeader,0)),"N/A")</f>
        <v>-5900</v>
      </c>
      <c r="N26" s="517"/>
      <c r="O26" s="521">
        <f ca="1">IF(ISNUMBER(M26),M26-J26,"N/A")</f>
        <v>-650</v>
      </c>
      <c r="P26" s="616">
        <f ca="1">IFERROR(IF(ISNUMBER(M26),(M26-J26)/ABS(J26),"N/A"),"N/A")</f>
        <v>-0.12380952380952381</v>
      </c>
      <c r="Q26" s="517"/>
      <c r="R26" s="522">
        <v>44314</v>
      </c>
      <c r="S26" s="446" t="s">
        <v>496</v>
      </c>
      <c r="T26" s="517"/>
    </row>
    <row r="27" spans="1:20" s="523" customFormat="1" x14ac:dyDescent="0.25">
      <c r="A27" s="515">
        <v>84</v>
      </c>
      <c r="B27" s="517"/>
      <c r="C27" s="517"/>
      <c r="D27" s="524"/>
      <c r="E27" s="517"/>
      <c r="F27" s="517"/>
      <c r="G27" s="517"/>
      <c r="H27" s="517"/>
      <c r="I27" s="517"/>
      <c r="J27" s="517"/>
      <c r="K27" s="517"/>
      <c r="L27" s="517"/>
      <c r="M27" s="517"/>
      <c r="N27" s="517"/>
      <c r="O27" s="524"/>
      <c r="P27" s="524"/>
      <c r="Q27" s="517"/>
      <c r="R27" s="517"/>
      <c r="S27" s="525"/>
      <c r="T27" s="517"/>
    </row>
    <row r="28" spans="1:20" x14ac:dyDescent="0.25">
      <c r="A28" s="286">
        <v>83</v>
      </c>
      <c r="B28" s="309" t="str">
        <f>IF(INDEX(MO_SNA_IsHistoricalPeriod,,MATCH(F28,MO_Common_ColumnHeader,0)),"Historical","Forward")</f>
        <v>Forward</v>
      </c>
      <c r="C28" s="301"/>
      <c r="D28" s="317" t="str">
        <f ca="1">INDEX(INDIRECT(E28),0,COLUMN(MO_Common_Column_A))</f>
        <v>Y/Y Total deliveries growth, %</v>
      </c>
      <c r="E28" s="310" t="s">
        <v>587</v>
      </c>
      <c r="F28" s="309" t="s">
        <v>497</v>
      </c>
      <c r="G28" s="301"/>
      <c r="H28" s="313">
        <v>0.5</v>
      </c>
      <c r="I28" s="313">
        <v>0.5</v>
      </c>
      <c r="J28" s="313">
        <f>AVERAGE(H28:I28)</f>
        <v>0.5</v>
      </c>
      <c r="K28" s="299"/>
      <c r="L28" s="309" t="str">
        <f>IF(INDEX(MO_SNA_IsHistoricalPeriod,,MATCH(F28,MO_Common_ColumnHeader,0)),"Actual","Estimate")</f>
        <v>Estimate</v>
      </c>
      <c r="M28" s="313">
        <f ca="1">IFERROR(INDEX(INDIRECT(E28),0,MATCH(F28,MO_Common_ColumnHeader,0)),"N/A")</f>
        <v>0.87366680876698943</v>
      </c>
      <c r="N28" s="299"/>
      <c r="O28" s="319">
        <f ca="1">IF(ISNUMBER(M28),M28-J28,"N/A")</f>
        <v>0.37366680876698943</v>
      </c>
      <c r="P28" s="319">
        <f ca="1">IFERROR(IF(ISNUMBER(M28),(M28-J28)/ABS(J28),"N/A"),"N/A")</f>
        <v>0.74733361753397887</v>
      </c>
      <c r="Q28" s="301"/>
      <c r="R28" s="312">
        <v>44312</v>
      </c>
      <c r="S28" s="446" t="s">
        <v>365</v>
      </c>
      <c r="T28" s="301"/>
    </row>
    <row r="29" spans="1:20" s="523" customFormat="1" x14ac:dyDescent="0.25">
      <c r="A29" s="515">
        <v>82</v>
      </c>
      <c r="B29" s="517"/>
      <c r="C29" s="517"/>
      <c r="D29" s="524"/>
      <c r="E29" s="517"/>
      <c r="F29" s="517"/>
      <c r="G29" s="517"/>
      <c r="H29" s="517"/>
      <c r="I29" s="517"/>
      <c r="J29" s="517"/>
      <c r="K29" s="517"/>
      <c r="L29" s="517"/>
      <c r="M29" s="517"/>
      <c r="N29" s="517"/>
      <c r="O29" s="524"/>
      <c r="P29" s="524"/>
      <c r="Q29" s="517"/>
      <c r="R29" s="517"/>
      <c r="S29" s="525"/>
      <c r="T29" s="517"/>
    </row>
    <row r="30" spans="1:20" s="523" customFormat="1" x14ac:dyDescent="0.25">
      <c r="A30" s="515">
        <v>81</v>
      </c>
      <c r="B30" s="516" t="str">
        <f>IF(INDEX(MO_SNA_IsHistoricalPeriod,,MATCH(F30,MO_Common_ColumnHeader,0)),"Historical","Forward")</f>
        <v>Forward</v>
      </c>
      <c r="C30" s="517"/>
      <c r="D30" s="518" t="str">
        <f ca="1">INDEX(INDIRECT(E30),0,COLUMN(MO_Common_Column_A))</f>
        <v>Capex</v>
      </c>
      <c r="E30" s="519" t="s">
        <v>367</v>
      </c>
      <c r="F30" s="516" t="s">
        <v>575</v>
      </c>
      <c r="G30" s="517"/>
      <c r="H30" s="520">
        <v>-6000</v>
      </c>
      <c r="I30" s="520">
        <v>-4500</v>
      </c>
      <c r="J30" s="520">
        <f>AVERAGE(H30:I30)</f>
        <v>-5250</v>
      </c>
      <c r="K30" s="517"/>
      <c r="L30" s="516" t="str">
        <f>IF(INDEX(MO_SNA_IsHistoricalPeriod,,MATCH(F30,MO_Common_ColumnHeader,0)),"Actual","Estimate")</f>
        <v>Estimate</v>
      </c>
      <c r="M30" s="520">
        <f ca="1">IFERROR(INDEX(INDIRECT(E30),0,MATCH(F30,MO_Common_ColumnHeader,0)),"N/A")</f>
        <v>-6000</v>
      </c>
      <c r="N30" s="517"/>
      <c r="O30" s="521">
        <f ca="1">IF(ISNUMBER(M30),M30-J30,"N/A")</f>
        <v>-750</v>
      </c>
      <c r="P30" s="616">
        <f ca="1">IFERROR(IF(ISNUMBER(M30),(M30-J30)/ABS(J30),"N/A"),"N/A")</f>
        <v>-0.14285714285714285</v>
      </c>
      <c r="Q30" s="517"/>
      <c r="R30" s="522">
        <v>44235</v>
      </c>
      <c r="S30" s="446" t="s">
        <v>574</v>
      </c>
      <c r="T30" s="517"/>
    </row>
    <row r="31" spans="1:20" s="523" customFormat="1" x14ac:dyDescent="0.25">
      <c r="A31" s="515">
        <v>80</v>
      </c>
      <c r="B31" s="517"/>
      <c r="C31" s="517"/>
      <c r="D31" s="524"/>
      <c r="E31" s="517"/>
      <c r="F31" s="517"/>
      <c r="G31" s="517"/>
      <c r="H31" s="517"/>
      <c r="I31" s="517"/>
      <c r="J31" s="517"/>
      <c r="K31" s="517"/>
      <c r="L31" s="517"/>
      <c r="M31" s="517"/>
      <c r="N31" s="517"/>
      <c r="O31" s="524"/>
      <c r="P31" s="524"/>
      <c r="Q31" s="517"/>
      <c r="R31" s="517"/>
      <c r="S31" s="525"/>
      <c r="T31" s="517"/>
    </row>
    <row r="32" spans="1:20" s="523" customFormat="1" x14ac:dyDescent="0.25">
      <c r="A32" s="515">
        <v>79</v>
      </c>
      <c r="B32" s="516" t="str">
        <f>IF(INDEX(MO_SNA_IsHistoricalPeriod,,MATCH(F32,MO_Common_ColumnHeader,0)),"Historical","Forward")</f>
        <v>Forward</v>
      </c>
      <c r="C32" s="517"/>
      <c r="D32" s="518" t="str">
        <f ca="1">INDEX(INDIRECT(E32),0,COLUMN(MO_Common_Column_A))</f>
        <v>Capex</v>
      </c>
      <c r="E32" s="519" t="s">
        <v>367</v>
      </c>
      <c r="F32" s="516" t="s">
        <v>495</v>
      </c>
      <c r="G32" s="517"/>
      <c r="H32" s="520">
        <v>-6000</v>
      </c>
      <c r="I32" s="520">
        <v>-4500</v>
      </c>
      <c r="J32" s="520">
        <f>AVERAGE(H32:I32)</f>
        <v>-5250</v>
      </c>
      <c r="K32" s="517"/>
      <c r="L32" s="516" t="str">
        <f>IF(INDEX(MO_SNA_IsHistoricalPeriod,,MATCH(F32,MO_Common_ColumnHeader,0)),"Actual","Estimate")</f>
        <v>Estimate</v>
      </c>
      <c r="M32" s="520">
        <f ca="1">IFERROR(INDEX(INDIRECT(E32),0,MATCH(F32,MO_Common_ColumnHeader,0)),"N/A")</f>
        <v>-6000</v>
      </c>
      <c r="N32" s="517"/>
      <c r="O32" s="521">
        <f ca="1">IF(ISNUMBER(M32),M32-J32,"N/A")</f>
        <v>-750</v>
      </c>
      <c r="P32" s="616">
        <f ca="1">IFERROR(IF(ISNUMBER(M32),(M32-J32)/ABS(J32),"N/A"),"N/A")</f>
        <v>-0.14285714285714285</v>
      </c>
      <c r="Q32" s="517"/>
      <c r="R32" s="522">
        <v>44235</v>
      </c>
      <c r="S32" s="446" t="s">
        <v>574</v>
      </c>
      <c r="T32" s="517"/>
    </row>
    <row r="33" spans="1:20" s="523" customFormat="1" x14ac:dyDescent="0.25">
      <c r="A33" s="515">
        <v>78</v>
      </c>
      <c r="B33" s="517"/>
      <c r="C33" s="517"/>
      <c r="D33" s="524"/>
      <c r="E33" s="517"/>
      <c r="F33" s="517"/>
      <c r="G33" s="517"/>
      <c r="H33" s="517"/>
      <c r="I33" s="517"/>
      <c r="J33" s="517"/>
      <c r="K33" s="517"/>
      <c r="L33" s="517"/>
      <c r="M33" s="517"/>
      <c r="N33" s="517"/>
      <c r="O33" s="524"/>
      <c r="P33" s="524"/>
      <c r="Q33" s="517"/>
      <c r="R33" s="517"/>
      <c r="S33" s="525"/>
      <c r="T33" s="517"/>
    </row>
    <row r="34" spans="1:20" s="523" customFormat="1" x14ac:dyDescent="0.25">
      <c r="A34" s="515">
        <v>77</v>
      </c>
      <c r="B34" s="516" t="str">
        <f>IF(INDEX(MO_SNA_IsHistoricalPeriod,,MATCH(F34,MO_Common_ColumnHeader,0)),"Historical","Forward")</f>
        <v>Forward</v>
      </c>
      <c r="C34" s="517"/>
      <c r="D34" s="518" t="str">
        <f ca="1">INDEX(INDIRECT(E34),0,COLUMN(MO_Common_Column_A))</f>
        <v>Capex</v>
      </c>
      <c r="E34" s="519" t="s">
        <v>367</v>
      </c>
      <c r="F34" s="516" t="s">
        <v>497</v>
      </c>
      <c r="G34" s="517"/>
      <c r="H34" s="520">
        <v>-6000</v>
      </c>
      <c r="I34" s="520">
        <v>-4500</v>
      </c>
      <c r="J34" s="520">
        <f>AVERAGE(H34:I34)</f>
        <v>-5250</v>
      </c>
      <c r="K34" s="517"/>
      <c r="L34" s="516" t="str">
        <f>IF(INDEX(MO_SNA_IsHistoricalPeriod,,MATCH(F34,MO_Common_ColumnHeader,0)),"Actual","Estimate")</f>
        <v>Estimate</v>
      </c>
      <c r="M34" s="520">
        <f ca="1">IFERROR(INDEX(INDIRECT(E34),0,MATCH(F34,MO_Common_ColumnHeader,0)),"N/A")</f>
        <v>-5900</v>
      </c>
      <c r="N34" s="517"/>
      <c r="O34" s="521">
        <f ca="1">IF(ISNUMBER(M34),M34-J34,"N/A")</f>
        <v>-650</v>
      </c>
      <c r="P34" s="616">
        <f ca="1">IFERROR(IF(ISNUMBER(M34),(M34-J34)/ABS(J34),"N/A"),"N/A")</f>
        <v>-0.12380952380952381</v>
      </c>
      <c r="Q34" s="517"/>
      <c r="R34" s="522">
        <v>44235</v>
      </c>
      <c r="S34" s="446" t="s">
        <v>574</v>
      </c>
      <c r="T34" s="517"/>
    </row>
    <row r="35" spans="1:20" s="523" customFormat="1" x14ac:dyDescent="0.25">
      <c r="A35" s="515">
        <v>76</v>
      </c>
      <c r="B35" s="517"/>
      <c r="C35" s="517"/>
      <c r="D35" s="524"/>
      <c r="E35" s="517"/>
      <c r="F35" s="517"/>
      <c r="G35" s="517"/>
      <c r="H35" s="517"/>
      <c r="I35" s="517"/>
      <c r="J35" s="517"/>
      <c r="K35" s="517"/>
      <c r="L35" s="517"/>
      <c r="M35" s="517"/>
      <c r="N35" s="517"/>
      <c r="O35" s="524"/>
      <c r="P35" s="524"/>
      <c r="Q35" s="517"/>
      <c r="R35" s="517"/>
      <c r="S35" s="525"/>
      <c r="T35" s="517"/>
    </row>
    <row r="36" spans="1:20" s="523" customFormat="1" x14ac:dyDescent="0.25">
      <c r="A36" s="515">
        <v>75</v>
      </c>
      <c r="B36" s="516" t="str">
        <f>IF(INDEX(MO_SNA_IsHistoricalPeriod,,MATCH(F36,MO_Common_ColumnHeader,0)),"Historical","Forward")</f>
        <v>Forward</v>
      </c>
      <c r="C36" s="517"/>
      <c r="D36" s="518" t="str">
        <f ca="1">INDEX(INDIRECT(E36),0,COLUMN(MO_Common_Column_A))</f>
        <v>Capex</v>
      </c>
      <c r="E36" s="519" t="s">
        <v>367</v>
      </c>
      <c r="F36" s="516" t="s">
        <v>495</v>
      </c>
      <c r="G36" s="517"/>
      <c r="H36" s="520">
        <v>-6000</v>
      </c>
      <c r="I36" s="520">
        <v>-4500</v>
      </c>
      <c r="J36" s="520">
        <f>AVERAGE(H36:I36)</f>
        <v>-5250</v>
      </c>
      <c r="K36" s="517"/>
      <c r="L36" s="516" t="str">
        <f>IF(INDEX(MO_SNA_IsHistoricalPeriod,,MATCH(F36,MO_Common_ColumnHeader,0)),"Actual","Estimate")</f>
        <v>Estimate</v>
      </c>
      <c r="M36" s="520">
        <f ca="1">IFERROR(INDEX(INDIRECT(E36),0,MATCH(F36,MO_Common_ColumnHeader,0)),"N/A")</f>
        <v>-6000</v>
      </c>
      <c r="N36" s="517"/>
      <c r="O36" s="521">
        <f ca="1">IF(ISNUMBER(M36),M36-J36,"N/A")</f>
        <v>-750</v>
      </c>
      <c r="P36" s="616">
        <f ca="1">IFERROR(IF(ISNUMBER(M36),(M36-J36)/ABS(J36),"N/A"),"N/A")</f>
        <v>-0.14285714285714285</v>
      </c>
      <c r="Q36" s="517"/>
      <c r="R36" s="522">
        <v>44130</v>
      </c>
      <c r="S36" s="446" t="s">
        <v>496</v>
      </c>
      <c r="T36" s="517"/>
    </row>
    <row r="37" spans="1:20" s="523" customFormat="1" x14ac:dyDescent="0.25">
      <c r="A37" s="515">
        <v>74</v>
      </c>
      <c r="B37" s="517"/>
      <c r="C37" s="517"/>
      <c r="D37" s="524"/>
      <c r="E37" s="517"/>
      <c r="F37" s="517"/>
      <c r="G37" s="517"/>
      <c r="H37" s="517"/>
      <c r="I37" s="517"/>
      <c r="J37" s="517"/>
      <c r="K37" s="517"/>
      <c r="L37" s="517"/>
      <c r="M37" s="517"/>
      <c r="N37" s="517"/>
      <c r="O37" s="524"/>
      <c r="P37" s="524"/>
      <c r="Q37" s="517"/>
      <c r="R37" s="517"/>
      <c r="S37" s="525"/>
      <c r="T37" s="517"/>
    </row>
    <row r="38" spans="1:20" s="523" customFormat="1" x14ac:dyDescent="0.25">
      <c r="A38" s="515">
        <v>73</v>
      </c>
      <c r="B38" s="516" t="str">
        <f>IF(INDEX(MO_SNA_IsHistoricalPeriod,,MATCH(F38,MO_Common_ColumnHeader,0)),"Historical","Forward")</f>
        <v>Forward</v>
      </c>
      <c r="C38" s="517"/>
      <c r="D38" s="518" t="str">
        <f ca="1">INDEX(INDIRECT(E38),0,COLUMN(MO_Common_Column_A))</f>
        <v>Capex</v>
      </c>
      <c r="E38" s="519" t="s">
        <v>367</v>
      </c>
      <c r="F38" s="516" t="s">
        <v>497</v>
      </c>
      <c r="G38" s="517"/>
      <c r="H38" s="520">
        <v>-6000</v>
      </c>
      <c r="I38" s="520">
        <v>-4500</v>
      </c>
      <c r="J38" s="520">
        <f>AVERAGE(H38:I38)</f>
        <v>-5250</v>
      </c>
      <c r="K38" s="517"/>
      <c r="L38" s="516" t="str">
        <f>IF(INDEX(MO_SNA_IsHistoricalPeriod,,MATCH(F38,MO_Common_ColumnHeader,0)),"Actual","Estimate")</f>
        <v>Estimate</v>
      </c>
      <c r="M38" s="520">
        <f ca="1">IFERROR(INDEX(INDIRECT(E38),0,MATCH(F38,MO_Common_ColumnHeader,0)),"N/A")</f>
        <v>-5900</v>
      </c>
      <c r="N38" s="517"/>
      <c r="O38" s="521">
        <f ca="1">IF(ISNUMBER(M38),M38-J38,"N/A")</f>
        <v>-650</v>
      </c>
      <c r="P38" s="616">
        <f ca="1">IFERROR(IF(ISNUMBER(M38),(M38-J38)/ABS(J38),"N/A"),"N/A")</f>
        <v>-0.12380952380952381</v>
      </c>
      <c r="Q38" s="517"/>
      <c r="R38" s="522">
        <v>44130</v>
      </c>
      <c r="S38" s="446" t="s">
        <v>496</v>
      </c>
      <c r="T38" s="517"/>
    </row>
    <row r="39" spans="1:20" s="523" customFormat="1" x14ac:dyDescent="0.25">
      <c r="A39" s="515">
        <v>72</v>
      </c>
      <c r="B39" s="517"/>
      <c r="C39" s="517"/>
      <c r="D39" s="524"/>
      <c r="E39" s="517"/>
      <c r="F39" s="517"/>
      <c r="G39" s="517"/>
      <c r="H39" s="517"/>
      <c r="I39" s="517"/>
      <c r="J39" s="517"/>
      <c r="K39" s="517"/>
      <c r="L39" s="517"/>
      <c r="M39" s="517"/>
      <c r="N39" s="517"/>
      <c r="O39" s="524"/>
      <c r="P39" s="524"/>
      <c r="Q39" s="517"/>
      <c r="R39" s="517"/>
      <c r="S39" s="525"/>
      <c r="T39" s="517"/>
    </row>
    <row r="40" spans="1:20" s="523" customFormat="1" x14ac:dyDescent="0.25">
      <c r="A40" s="515">
        <v>71</v>
      </c>
      <c r="B40" s="516" t="str">
        <f>IF(INDEX(MO_SNA_IsHistoricalPeriod,,MATCH(F40,MO_Common_ColumnHeader,0)),"Historical","Forward")</f>
        <v>Historical</v>
      </c>
      <c r="C40" s="517"/>
      <c r="D40" s="518" t="str">
        <f ca="1">INDEX(INDIRECT(E40),0,COLUMN(MO_Common_Column_A))</f>
        <v>Capex</v>
      </c>
      <c r="E40" s="519" t="s">
        <v>367</v>
      </c>
      <c r="F40" s="516" t="s">
        <v>489</v>
      </c>
      <c r="G40" s="517"/>
      <c r="H40" s="520">
        <v>-3500</v>
      </c>
      <c r="I40" s="520">
        <v>-2500</v>
      </c>
      <c r="J40" s="520">
        <f>AVERAGE(H40:I40)</f>
        <v>-3000</v>
      </c>
      <c r="K40" s="517"/>
      <c r="L40" s="516" t="str">
        <f>IF(INDEX(MO_SNA_IsHistoricalPeriod,,MATCH(F40,MO_Common_ColumnHeader,0)),"Actual","Estimate")</f>
        <v>Actual</v>
      </c>
      <c r="M40" s="520">
        <f ca="1">IFERROR(INDEX(INDIRECT(E40),0,MATCH(F40,MO_Common_ColumnHeader,0)),"N/A")</f>
        <v>-3242</v>
      </c>
      <c r="N40" s="517"/>
      <c r="O40" s="521">
        <f ca="1">IF(ISNUMBER(M40),M40-J40,"N/A")</f>
        <v>-242</v>
      </c>
      <c r="P40" s="616">
        <f ca="1">IFERROR(IF(ISNUMBER(M40),(M40-J40)/ABS(J40),"N/A"),"N/A")</f>
        <v>-8.0666666666666664E-2</v>
      </c>
      <c r="Q40" s="517"/>
      <c r="R40" s="522">
        <v>44130</v>
      </c>
      <c r="S40" s="446" t="s">
        <v>496</v>
      </c>
      <c r="T40" s="517"/>
    </row>
    <row r="41" spans="1:20" s="523" customFormat="1" x14ac:dyDescent="0.25">
      <c r="A41" s="515">
        <v>70</v>
      </c>
      <c r="B41" s="517"/>
      <c r="C41" s="517"/>
      <c r="D41" s="524"/>
      <c r="E41" s="517"/>
      <c r="F41" s="517"/>
      <c r="G41" s="517"/>
      <c r="H41" s="517"/>
      <c r="I41" s="517"/>
      <c r="J41" s="517"/>
      <c r="K41" s="517"/>
      <c r="L41" s="517"/>
      <c r="M41" s="517"/>
      <c r="N41" s="517"/>
      <c r="O41" s="524"/>
      <c r="P41" s="524"/>
      <c r="Q41" s="517"/>
      <c r="R41" s="517"/>
      <c r="S41" s="525"/>
      <c r="T41" s="517"/>
    </row>
    <row r="42" spans="1:20" x14ac:dyDescent="0.25">
      <c r="A42" s="286">
        <v>69</v>
      </c>
      <c r="B42" s="309" t="str">
        <f>IF(INDEX(MO_SNA_IsHistoricalPeriod,,MATCH(F42,MO_Common_ColumnHeader,0)),"Historical","Forward")</f>
        <v>Historical</v>
      </c>
      <c r="C42" s="301"/>
      <c r="D42" s="317" t="str">
        <f ca="1">INDEX(INDIRECT(E42),0,COLUMN(MO_Common_Column_A))</f>
        <v>Total Deliveries, units</v>
      </c>
      <c r="E42" s="310" t="s">
        <v>366</v>
      </c>
      <c r="F42" s="309" t="s">
        <v>489</v>
      </c>
      <c r="G42" s="301"/>
      <c r="H42" s="311">
        <v>500000</v>
      </c>
      <c r="I42" s="311">
        <v>500000</v>
      </c>
      <c r="J42" s="311">
        <f>AVERAGE(H42:I42)</f>
        <v>500000</v>
      </c>
      <c r="K42" s="301"/>
      <c r="L42" s="309" t="str">
        <f>IF(INDEX(MO_SNA_IsHistoricalPeriod,,MATCH(F42,MO_Common_ColumnHeader,0)),"Actual","Estimate")</f>
        <v>Actual</v>
      </c>
      <c r="M42" s="311">
        <f ca="1">IFERROR(INDEX(INDIRECT(E42),0,MATCH(F42,MO_Common_ColumnHeader,0)),"N/A")</f>
        <v>499647</v>
      </c>
      <c r="N42" s="301"/>
      <c r="O42" s="318">
        <f ca="1">IF(ISNUMBER(M42),M42-J42,"N/A")</f>
        <v>-353</v>
      </c>
      <c r="P42" s="319">
        <f ca="1">IFERROR(IF(ISNUMBER(M42),(M42-J42)/ABS(J42),"N/A"),"N/A")</f>
        <v>-7.0600000000000003E-4</v>
      </c>
      <c r="Q42" s="301"/>
      <c r="R42" s="312">
        <v>44125</v>
      </c>
      <c r="S42" s="446" t="s">
        <v>365</v>
      </c>
      <c r="T42" s="301"/>
    </row>
    <row r="43" spans="1:20" s="523" customFormat="1" x14ac:dyDescent="0.25">
      <c r="A43" s="515">
        <v>68</v>
      </c>
      <c r="B43" s="517"/>
      <c r="C43" s="517"/>
      <c r="D43" s="524"/>
      <c r="E43" s="517"/>
      <c r="F43" s="517"/>
      <c r="G43" s="517"/>
      <c r="H43" s="517"/>
      <c r="I43" s="517"/>
      <c r="J43" s="517"/>
      <c r="K43" s="517"/>
      <c r="L43" s="517"/>
      <c r="M43" s="517"/>
      <c r="N43" s="517"/>
      <c r="O43" s="524"/>
      <c r="P43" s="524"/>
      <c r="Q43" s="517"/>
      <c r="R43" s="517"/>
      <c r="S43" s="525"/>
      <c r="T43" s="517"/>
    </row>
    <row r="44" spans="1:20" s="523" customFormat="1" x14ac:dyDescent="0.25">
      <c r="A44" s="515">
        <v>67</v>
      </c>
      <c r="B44" s="516" t="str">
        <f>IF(INDEX(MO_SNA_IsHistoricalPeriod,,MATCH(F44,MO_Common_ColumnHeader,0)),"Historical","Forward")</f>
        <v>Forward</v>
      </c>
      <c r="C44" s="517"/>
      <c r="D44" s="518" t="str">
        <f ca="1">INDEX(INDIRECT(E44),0,COLUMN(MO_Common_Column_A))</f>
        <v>Capex</v>
      </c>
      <c r="E44" s="519" t="s">
        <v>367</v>
      </c>
      <c r="F44" s="516" t="s">
        <v>495</v>
      </c>
      <c r="G44" s="517"/>
      <c r="H44" s="520">
        <v>-3500</v>
      </c>
      <c r="I44" s="520">
        <v>-2500</v>
      </c>
      <c r="J44" s="520">
        <f>AVERAGE(H44:I44)</f>
        <v>-3000</v>
      </c>
      <c r="K44" s="517"/>
      <c r="L44" s="516" t="str">
        <f>IF(INDEX(MO_SNA_IsHistoricalPeriod,,MATCH(F44,MO_Common_ColumnHeader,0)),"Actual","Estimate")</f>
        <v>Estimate</v>
      </c>
      <c r="M44" s="520">
        <f ca="1">IFERROR(INDEX(INDIRECT(E44),0,MATCH(F44,MO_Common_ColumnHeader,0)),"N/A")</f>
        <v>-6000</v>
      </c>
      <c r="N44" s="517"/>
      <c r="O44" s="521">
        <f ca="1">IF(ISNUMBER(M44),M44-J44,"N/A")</f>
        <v>-3000</v>
      </c>
      <c r="P44" s="616">
        <f ca="1">IFERROR(IF(ISNUMBER(M44),(M44-J44)/ABS(J44),"N/A"),"N/A")</f>
        <v>-1</v>
      </c>
      <c r="Q44" s="517"/>
      <c r="R44" s="522">
        <v>44040</v>
      </c>
      <c r="S44" s="446" t="s">
        <v>496</v>
      </c>
      <c r="T44" s="517"/>
    </row>
    <row r="45" spans="1:20" s="523" customFormat="1" x14ac:dyDescent="0.25">
      <c r="A45" s="515">
        <v>66</v>
      </c>
      <c r="B45" s="517"/>
      <c r="C45" s="517"/>
      <c r="D45" s="524"/>
      <c r="E45" s="517"/>
      <c r="F45" s="517"/>
      <c r="G45" s="517"/>
      <c r="H45" s="517"/>
      <c r="I45" s="517"/>
      <c r="J45" s="517"/>
      <c r="K45" s="517"/>
      <c r="L45" s="517"/>
      <c r="M45" s="517"/>
      <c r="N45" s="517"/>
      <c r="O45" s="524"/>
      <c r="P45" s="524"/>
      <c r="Q45" s="517"/>
      <c r="R45" s="517"/>
      <c r="S45" s="525"/>
      <c r="T45" s="517"/>
    </row>
    <row r="46" spans="1:20" s="523" customFormat="1" x14ac:dyDescent="0.25">
      <c r="A46" s="515">
        <v>65</v>
      </c>
      <c r="B46" s="516" t="str">
        <f>IF(INDEX(MO_SNA_IsHistoricalPeriod,,MATCH(F46,MO_Common_ColumnHeader,0)),"Historical","Forward")</f>
        <v>Forward</v>
      </c>
      <c r="C46" s="517"/>
      <c r="D46" s="518" t="str">
        <f ca="1">INDEX(INDIRECT(E46),0,COLUMN(MO_Common_Column_A))</f>
        <v>Capex</v>
      </c>
      <c r="E46" s="519" t="s">
        <v>367</v>
      </c>
      <c r="F46" s="516" t="s">
        <v>497</v>
      </c>
      <c r="G46" s="517"/>
      <c r="H46" s="520">
        <v>-3500</v>
      </c>
      <c r="I46" s="520">
        <v>-2500</v>
      </c>
      <c r="J46" s="520">
        <f>AVERAGE(H46:I46)</f>
        <v>-3000</v>
      </c>
      <c r="K46" s="517"/>
      <c r="L46" s="516" t="str">
        <f>IF(INDEX(MO_SNA_IsHistoricalPeriod,,MATCH(F46,MO_Common_ColumnHeader,0)),"Actual","Estimate")</f>
        <v>Estimate</v>
      </c>
      <c r="M46" s="520">
        <f ca="1">IFERROR(INDEX(INDIRECT(E46),0,MATCH(F46,MO_Common_ColumnHeader,0)),"N/A")</f>
        <v>-5900</v>
      </c>
      <c r="N46" s="517"/>
      <c r="O46" s="521">
        <f ca="1">IF(ISNUMBER(M46),M46-J46,"N/A")</f>
        <v>-2900</v>
      </c>
      <c r="P46" s="616">
        <f ca="1">IFERROR(IF(ISNUMBER(M46),(M46-J46)/ABS(J46),"N/A"),"N/A")</f>
        <v>-0.96666666666666667</v>
      </c>
      <c r="Q46" s="517"/>
      <c r="R46" s="522">
        <v>44040</v>
      </c>
      <c r="S46" s="446" t="s">
        <v>496</v>
      </c>
      <c r="T46" s="517"/>
    </row>
    <row r="47" spans="1:20" s="523" customFormat="1" x14ac:dyDescent="0.25">
      <c r="A47" s="515">
        <v>64</v>
      </c>
      <c r="B47" s="517"/>
      <c r="C47" s="517"/>
      <c r="D47" s="524"/>
      <c r="E47" s="517"/>
      <c r="F47" s="517"/>
      <c r="G47" s="517"/>
      <c r="H47" s="517"/>
      <c r="I47" s="517"/>
      <c r="J47" s="517"/>
      <c r="K47" s="517"/>
      <c r="L47" s="517"/>
      <c r="M47" s="517"/>
      <c r="N47" s="517"/>
      <c r="O47" s="524"/>
      <c r="P47" s="524"/>
      <c r="Q47" s="517"/>
      <c r="R47" s="517"/>
      <c r="S47" s="525"/>
      <c r="T47" s="517"/>
    </row>
    <row r="48" spans="1:20" s="523" customFormat="1" x14ac:dyDescent="0.25">
      <c r="A48" s="515">
        <v>63</v>
      </c>
      <c r="B48" s="516" t="str">
        <f>IF(INDEX(MO_SNA_IsHistoricalPeriod,,MATCH(F48,MO_Common_ColumnHeader,0)),"Historical","Forward")</f>
        <v>Historical</v>
      </c>
      <c r="C48" s="517"/>
      <c r="D48" s="518" t="str">
        <f ca="1">INDEX(INDIRECT(E48),0,COLUMN(MO_Common_Column_A))</f>
        <v>Capex</v>
      </c>
      <c r="E48" s="519" t="s">
        <v>367</v>
      </c>
      <c r="F48" s="516" t="s">
        <v>489</v>
      </c>
      <c r="G48" s="517"/>
      <c r="H48" s="520">
        <v>-3500</v>
      </c>
      <c r="I48" s="520">
        <v>-2500</v>
      </c>
      <c r="J48" s="520">
        <f>AVERAGE(H48:I48)</f>
        <v>-3000</v>
      </c>
      <c r="K48" s="517"/>
      <c r="L48" s="516" t="str">
        <f>IF(INDEX(MO_SNA_IsHistoricalPeriod,,MATCH(F48,MO_Common_ColumnHeader,0)),"Actual","Estimate")</f>
        <v>Actual</v>
      </c>
      <c r="M48" s="520">
        <f ca="1">IFERROR(INDEX(INDIRECT(E48),0,MATCH(F48,MO_Common_ColumnHeader,0)),"N/A")</f>
        <v>-3242</v>
      </c>
      <c r="N48" s="517"/>
      <c r="O48" s="521">
        <f ca="1">IF(ISNUMBER(M48),M48-J48,"N/A")</f>
        <v>-242</v>
      </c>
      <c r="P48" s="616">
        <f ca="1">IFERROR(IF(ISNUMBER(M48),(M48-J48)/ABS(J48),"N/A"),"N/A")</f>
        <v>-8.0666666666666664E-2</v>
      </c>
      <c r="Q48" s="517"/>
      <c r="R48" s="522">
        <v>44040</v>
      </c>
      <c r="S48" s="446" t="s">
        <v>496</v>
      </c>
      <c r="T48" s="517"/>
    </row>
    <row r="49" spans="1:20" s="523" customFormat="1" x14ac:dyDescent="0.25">
      <c r="A49" s="515">
        <v>62</v>
      </c>
      <c r="B49" s="517"/>
      <c r="C49" s="517"/>
      <c r="D49" s="524"/>
      <c r="E49" s="517"/>
      <c r="F49" s="517"/>
      <c r="G49" s="517"/>
      <c r="H49" s="517"/>
      <c r="I49" s="517"/>
      <c r="J49" s="517"/>
      <c r="K49" s="517"/>
      <c r="L49" s="517"/>
      <c r="M49" s="517"/>
      <c r="N49" s="517"/>
      <c r="O49" s="524"/>
      <c r="P49" s="524"/>
      <c r="Q49" s="517"/>
      <c r="R49" s="517"/>
      <c r="S49" s="525"/>
      <c r="T49" s="517"/>
    </row>
    <row r="50" spans="1:20" x14ac:dyDescent="0.25">
      <c r="A50" s="286">
        <v>61</v>
      </c>
      <c r="B50" s="309" t="str">
        <f>IF(INDEX(MO_SNA_IsHistoricalPeriod,,MATCH(F50,MO_Common_ColumnHeader,0)),"Historical","Forward")</f>
        <v>Historical</v>
      </c>
      <c r="C50" s="301"/>
      <c r="D50" s="317" t="str">
        <f ca="1">INDEX(INDIRECT(E50),0,COLUMN(MO_Common_Column_A))</f>
        <v>Total Deliveries, units</v>
      </c>
      <c r="E50" s="310" t="s">
        <v>366</v>
      </c>
      <c r="F50" s="309" t="s">
        <v>489</v>
      </c>
      <c r="G50" s="301"/>
      <c r="H50" s="311">
        <v>500000</v>
      </c>
      <c r="I50" s="311">
        <v>500000</v>
      </c>
      <c r="J50" s="311">
        <f>AVERAGE(H50:I50)</f>
        <v>500000</v>
      </c>
      <c r="K50" s="301"/>
      <c r="L50" s="309" t="str">
        <f>IF(INDEX(MO_SNA_IsHistoricalPeriod,,MATCH(F50,MO_Common_ColumnHeader,0)),"Actual","Estimate")</f>
        <v>Actual</v>
      </c>
      <c r="M50" s="311">
        <f ca="1">IFERROR(INDEX(INDIRECT(E50),0,MATCH(F50,MO_Common_ColumnHeader,0)),"N/A")</f>
        <v>499647</v>
      </c>
      <c r="N50" s="301"/>
      <c r="O50" s="318">
        <f ca="1">IF(ISNUMBER(M50),M50-J50,"N/A")</f>
        <v>-353</v>
      </c>
      <c r="P50" s="319">
        <f ca="1">IFERROR(IF(ISNUMBER(M50),(M50-J50)/ABS(J50),"N/A"),"N/A")</f>
        <v>-7.0600000000000003E-4</v>
      </c>
      <c r="Q50" s="301"/>
      <c r="R50" s="312">
        <v>44034</v>
      </c>
      <c r="S50" s="446" t="s">
        <v>365</v>
      </c>
      <c r="T50" s="301"/>
    </row>
    <row r="51" spans="1:20" x14ac:dyDescent="0.25">
      <c r="A51" s="286">
        <v>60</v>
      </c>
      <c r="B51" s="301"/>
      <c r="C51" s="301"/>
      <c r="D51" s="297"/>
      <c r="E51" s="301"/>
      <c r="F51" s="301"/>
      <c r="G51" s="301"/>
      <c r="H51" s="301"/>
      <c r="I51" s="301"/>
      <c r="J51" s="301"/>
      <c r="K51" s="301"/>
      <c r="L51" s="301"/>
      <c r="M51" s="301"/>
      <c r="N51" s="301"/>
      <c r="O51" s="297"/>
      <c r="P51" s="297"/>
      <c r="Q51" s="301"/>
      <c r="R51" s="301"/>
      <c r="S51" s="322"/>
      <c r="T51" s="301"/>
    </row>
    <row r="52" spans="1:20" s="523" customFormat="1" x14ac:dyDescent="0.25">
      <c r="A52" s="515">
        <v>59</v>
      </c>
      <c r="B52" s="516" t="str">
        <f>IF(INDEX(MO_SNA_IsHistoricalPeriod,,MATCH(F52,MO_Common_ColumnHeader,0)),"Historical","Forward")</f>
        <v>Forward</v>
      </c>
      <c r="C52" s="517"/>
      <c r="D52" s="518" t="str">
        <f ca="1">INDEX(INDIRECT(E52),0,COLUMN(MO_Common_Column_A))</f>
        <v>Capex</v>
      </c>
      <c r="E52" s="519" t="s">
        <v>367</v>
      </c>
      <c r="F52" s="516" t="s">
        <v>495</v>
      </c>
      <c r="G52" s="517"/>
      <c r="H52" s="520">
        <v>-3500</v>
      </c>
      <c r="I52" s="520">
        <v>-2500</v>
      </c>
      <c r="J52" s="520">
        <f>AVERAGE(H52:I52)</f>
        <v>-3000</v>
      </c>
      <c r="K52" s="517"/>
      <c r="L52" s="516" t="str">
        <f>IF(INDEX(MO_SNA_IsHistoricalPeriod,,MATCH(F52,MO_Common_ColumnHeader,0)),"Actual","Estimate")</f>
        <v>Estimate</v>
      </c>
      <c r="M52" s="520">
        <f ca="1">IFERROR(INDEX(INDIRECT(E52),0,MATCH(F52,MO_Common_ColumnHeader,0)),"N/A")</f>
        <v>-6000</v>
      </c>
      <c r="N52" s="517"/>
      <c r="O52" s="521">
        <f ca="1">IF(ISNUMBER(M52),M52-J52,"N/A")</f>
        <v>-3000</v>
      </c>
      <c r="P52" s="616">
        <f ca="1">IFERROR(IF(ISNUMBER(M52),(M52-J52)/ABS(J52),"N/A"),"N/A")</f>
        <v>-1</v>
      </c>
      <c r="Q52" s="517"/>
      <c r="R52" s="522">
        <v>43951</v>
      </c>
      <c r="S52" s="446" t="s">
        <v>496</v>
      </c>
      <c r="T52" s="517"/>
    </row>
    <row r="53" spans="1:20" s="523" customFormat="1" x14ac:dyDescent="0.25">
      <c r="A53" s="515">
        <v>58</v>
      </c>
      <c r="B53" s="517"/>
      <c r="C53" s="517"/>
      <c r="D53" s="524"/>
      <c r="E53" s="517"/>
      <c r="F53" s="517"/>
      <c r="G53" s="517"/>
      <c r="H53" s="517"/>
      <c r="I53" s="517"/>
      <c r="J53" s="517"/>
      <c r="K53" s="517"/>
      <c r="L53" s="517"/>
      <c r="M53" s="517"/>
      <c r="N53" s="517"/>
      <c r="O53" s="524"/>
      <c r="P53" s="524"/>
      <c r="Q53" s="517"/>
      <c r="R53" s="517"/>
      <c r="S53" s="525"/>
      <c r="T53" s="517"/>
    </row>
    <row r="54" spans="1:20" s="523" customFormat="1" x14ac:dyDescent="0.25">
      <c r="A54" s="515">
        <v>57</v>
      </c>
      <c r="B54" s="516" t="str">
        <f>IF(INDEX(MO_SNA_IsHistoricalPeriod,,MATCH(F54,MO_Common_ColumnHeader,0)),"Historical","Forward")</f>
        <v>Forward</v>
      </c>
      <c r="C54" s="517"/>
      <c r="D54" s="518" t="str">
        <f ca="1">INDEX(INDIRECT(E54),0,COLUMN(MO_Common_Column_A))</f>
        <v>Capex</v>
      </c>
      <c r="E54" s="519" t="s">
        <v>367</v>
      </c>
      <c r="F54" s="516" t="s">
        <v>497</v>
      </c>
      <c r="G54" s="517"/>
      <c r="H54" s="520">
        <v>-3500</v>
      </c>
      <c r="I54" s="520">
        <v>-2500</v>
      </c>
      <c r="J54" s="520">
        <f>AVERAGE(H54:I54)</f>
        <v>-3000</v>
      </c>
      <c r="K54" s="517"/>
      <c r="L54" s="516" t="str">
        <f>IF(INDEX(MO_SNA_IsHistoricalPeriod,,MATCH(F54,MO_Common_ColumnHeader,0)),"Actual","Estimate")</f>
        <v>Estimate</v>
      </c>
      <c r="M54" s="520">
        <f ca="1">IFERROR(INDEX(INDIRECT(E54),0,MATCH(F54,MO_Common_ColumnHeader,0)),"N/A")</f>
        <v>-5900</v>
      </c>
      <c r="N54" s="517"/>
      <c r="O54" s="521">
        <f ca="1">IF(ISNUMBER(M54),M54-J54,"N/A")</f>
        <v>-2900</v>
      </c>
      <c r="P54" s="616">
        <f ca="1">IFERROR(IF(ISNUMBER(M54),(M54-J54)/ABS(J54),"N/A"),"N/A")</f>
        <v>-0.96666666666666667</v>
      </c>
      <c r="Q54" s="517"/>
      <c r="R54" s="522">
        <v>43951</v>
      </c>
      <c r="S54" s="446" t="s">
        <v>496</v>
      </c>
      <c r="T54" s="517"/>
    </row>
    <row r="55" spans="1:20" s="523" customFormat="1" x14ac:dyDescent="0.25">
      <c r="A55" s="515">
        <v>56</v>
      </c>
      <c r="B55" s="517"/>
      <c r="C55" s="517"/>
      <c r="D55" s="524"/>
      <c r="E55" s="517"/>
      <c r="F55" s="517"/>
      <c r="G55" s="517"/>
      <c r="H55" s="517"/>
      <c r="I55" s="517"/>
      <c r="J55" s="517"/>
      <c r="K55" s="517"/>
      <c r="L55" s="517"/>
      <c r="M55" s="517"/>
      <c r="N55" s="517"/>
      <c r="O55" s="524"/>
      <c r="P55" s="524"/>
      <c r="Q55" s="517"/>
      <c r="R55" s="517"/>
      <c r="S55" s="525"/>
      <c r="T55" s="517"/>
    </row>
    <row r="56" spans="1:20" s="523" customFormat="1" x14ac:dyDescent="0.25">
      <c r="A56" s="515">
        <v>55</v>
      </c>
      <c r="B56" s="516" t="str">
        <f>IF(INDEX(MO_SNA_IsHistoricalPeriod,,MATCH(F56,MO_Common_ColumnHeader,0)),"Historical","Forward")</f>
        <v>Historical</v>
      </c>
      <c r="C56" s="517"/>
      <c r="D56" s="518" t="str">
        <f ca="1">INDEX(INDIRECT(E56),0,COLUMN(MO_Common_Column_A))</f>
        <v>Capex</v>
      </c>
      <c r="E56" s="519" t="s">
        <v>367</v>
      </c>
      <c r="F56" s="516" t="s">
        <v>489</v>
      </c>
      <c r="G56" s="517"/>
      <c r="H56" s="520">
        <v>-3500</v>
      </c>
      <c r="I56" s="520">
        <v>-2500</v>
      </c>
      <c r="J56" s="520">
        <f>AVERAGE(H56:I56)</f>
        <v>-3000</v>
      </c>
      <c r="K56" s="517"/>
      <c r="L56" s="516" t="str">
        <f>IF(INDEX(MO_SNA_IsHistoricalPeriod,,MATCH(F56,MO_Common_ColumnHeader,0)),"Actual","Estimate")</f>
        <v>Actual</v>
      </c>
      <c r="M56" s="520">
        <f ca="1">IFERROR(INDEX(INDIRECT(E56),0,MATCH(F56,MO_Common_ColumnHeader,0)),"N/A")</f>
        <v>-3242</v>
      </c>
      <c r="N56" s="517"/>
      <c r="O56" s="521">
        <f ca="1">IF(ISNUMBER(M56),M56-J56,"N/A")</f>
        <v>-242</v>
      </c>
      <c r="P56" s="616">
        <f ca="1">IFERROR(IF(ISNUMBER(M56),(M56-J56)/ABS(J56),"N/A"),"N/A")</f>
        <v>-8.0666666666666664E-2</v>
      </c>
      <c r="Q56" s="517"/>
      <c r="R56" s="522">
        <v>43951</v>
      </c>
      <c r="S56" s="446" t="s">
        <v>496</v>
      </c>
      <c r="T56" s="517"/>
    </row>
    <row r="57" spans="1:20" s="523" customFormat="1" x14ac:dyDescent="0.25">
      <c r="A57" s="515">
        <v>54</v>
      </c>
      <c r="B57" s="517"/>
      <c r="C57" s="517"/>
      <c r="D57" s="524"/>
      <c r="E57" s="517"/>
      <c r="F57" s="517"/>
      <c r="G57" s="517"/>
      <c r="H57" s="517"/>
      <c r="I57" s="517"/>
      <c r="J57" s="517"/>
      <c r="K57" s="517"/>
      <c r="L57" s="517"/>
      <c r="M57" s="517"/>
      <c r="N57" s="517"/>
      <c r="O57" s="524"/>
      <c r="P57" s="524"/>
      <c r="Q57" s="517"/>
      <c r="R57" s="517"/>
      <c r="S57" s="525"/>
      <c r="T57" s="517"/>
    </row>
    <row r="58" spans="1:20" x14ac:dyDescent="0.25">
      <c r="A58" s="286">
        <v>53</v>
      </c>
      <c r="B58" s="309" t="str">
        <f>IF(INDEX(MO_SNA_IsHistoricalPeriod,,MATCH(F58,MO_Common_ColumnHeader,0)),"Historical","Forward")</f>
        <v>Historical</v>
      </c>
      <c r="C58" s="301"/>
      <c r="D58" s="317" t="str">
        <f ca="1">INDEX(INDIRECT(E58),0,COLUMN(MO_Common_Column_A))</f>
        <v>Total Deliveries, units</v>
      </c>
      <c r="E58" s="310" t="s">
        <v>366</v>
      </c>
      <c r="F58" s="309" t="s">
        <v>489</v>
      </c>
      <c r="G58" s="301"/>
      <c r="H58" s="311">
        <v>500000</v>
      </c>
      <c r="I58" s="311">
        <v>550000</v>
      </c>
      <c r="J58" s="311">
        <f>AVERAGE(H58:I58)</f>
        <v>525000</v>
      </c>
      <c r="K58" s="301"/>
      <c r="L58" s="309" t="str">
        <f>IF(INDEX(MO_SNA_IsHistoricalPeriod,,MATCH(F58,MO_Common_ColumnHeader,0)),"Actual","Estimate")</f>
        <v>Actual</v>
      </c>
      <c r="M58" s="311">
        <f ca="1">IFERROR(INDEX(INDIRECT(E58),0,MATCH(F58,MO_Common_ColumnHeader,0)),"N/A")</f>
        <v>499647</v>
      </c>
      <c r="N58" s="301"/>
      <c r="O58" s="318">
        <f ca="1">IF(ISNUMBER(M58),M58-J58,"N/A")</f>
        <v>-25353</v>
      </c>
      <c r="P58" s="319">
        <f ca="1">IFERROR(IF(ISNUMBER(M58),(M58-J58)/ABS(J58),"N/A"),"N/A")</f>
        <v>-4.8291428571428568E-2</v>
      </c>
      <c r="Q58" s="301"/>
      <c r="R58" s="312">
        <v>43859</v>
      </c>
      <c r="S58" s="446" t="s">
        <v>365</v>
      </c>
      <c r="T58" s="301"/>
    </row>
    <row r="59" spans="1:20" x14ac:dyDescent="0.25">
      <c r="A59" s="286">
        <v>52</v>
      </c>
      <c r="B59" s="301"/>
      <c r="C59" s="301"/>
      <c r="D59" s="297"/>
      <c r="E59" s="301"/>
      <c r="F59" s="301"/>
      <c r="G59" s="301"/>
      <c r="H59" s="301"/>
      <c r="I59" s="301"/>
      <c r="J59" s="301"/>
      <c r="K59" s="301"/>
      <c r="L59" s="301"/>
      <c r="M59" s="301"/>
      <c r="N59" s="301"/>
      <c r="O59" s="297"/>
      <c r="P59" s="297"/>
      <c r="Q59" s="301"/>
      <c r="R59" s="301"/>
      <c r="S59" s="322"/>
      <c r="T59" s="301"/>
    </row>
    <row r="60" spans="1:20" x14ac:dyDescent="0.25">
      <c r="A60" s="286">
        <v>51</v>
      </c>
      <c r="B60" s="309" t="str">
        <f>IF(INDEX(MO_SNA_IsHistoricalPeriod,,MATCH(F60,MO_Common_ColumnHeader,0)),"Historical","Forward")</f>
        <v>Historical</v>
      </c>
      <c r="C60" s="301"/>
      <c r="D60" s="317" t="s">
        <v>491</v>
      </c>
      <c r="E60" s="310"/>
      <c r="F60" s="309" t="s">
        <v>493</v>
      </c>
      <c r="G60" s="301"/>
      <c r="H60" s="311">
        <v>500000</v>
      </c>
      <c r="I60" s="311">
        <v>500000</v>
      </c>
      <c r="J60" s="311">
        <f>AVERAGE(H60:I60)</f>
        <v>500000</v>
      </c>
      <c r="K60" s="301"/>
      <c r="L60" s="309" t="str">
        <f>IF(INDEX(MO_SNA_IsHistoricalPeriod,,MATCH(F60,MO_Common_ColumnHeader,0)),"Actual","Estimate")</f>
        <v>Actual</v>
      </c>
      <c r="M60" s="311" t="str">
        <f ca="1">IFERROR(INDEX(INDIRECT(E60),0,MATCH(F60,MO_Common_ColumnHeader,0)),"N/A")</f>
        <v>N/A</v>
      </c>
      <c r="N60" s="301"/>
      <c r="O60" s="318" t="str">
        <f ca="1">IF(ISNUMBER(M60),M60-J60,"N/A")</f>
        <v>N/A</v>
      </c>
      <c r="P60" s="319" t="str">
        <f ca="1">IFERROR(IF(ISNUMBER(M60),(M60-J60)/ABS(J60),"N/A"),"N/A")</f>
        <v>N/A</v>
      </c>
      <c r="Q60" s="301"/>
      <c r="R60" s="312">
        <v>43859</v>
      </c>
      <c r="S60" s="446" t="s">
        <v>365</v>
      </c>
      <c r="T60" s="301"/>
    </row>
    <row r="61" spans="1:20" x14ac:dyDescent="0.25">
      <c r="A61" s="286">
        <v>50</v>
      </c>
      <c r="B61" s="301"/>
      <c r="C61" s="301"/>
      <c r="D61" s="297"/>
      <c r="E61" s="301"/>
      <c r="F61" s="301"/>
      <c r="G61" s="301"/>
      <c r="H61" s="301"/>
      <c r="I61" s="301"/>
      <c r="J61" s="301"/>
      <c r="K61" s="301"/>
      <c r="L61" s="301"/>
      <c r="M61" s="301"/>
      <c r="N61" s="301"/>
      <c r="O61" s="297"/>
      <c r="P61" s="297"/>
      <c r="Q61" s="301"/>
      <c r="R61" s="301"/>
      <c r="S61" s="322"/>
      <c r="T61" s="301"/>
    </row>
    <row r="62" spans="1:20" x14ac:dyDescent="0.25">
      <c r="A62" s="286">
        <v>49</v>
      </c>
      <c r="B62" s="309" t="str">
        <f>IF(INDEX(MO_SNA_IsHistoricalPeriod,,MATCH(F62,MO_Common_ColumnHeader,0)),"Historical","Forward")</f>
        <v>Historical</v>
      </c>
      <c r="C62" s="301"/>
      <c r="D62" s="317" t="s">
        <v>491</v>
      </c>
      <c r="E62" s="310"/>
      <c r="F62" s="309" t="s">
        <v>492</v>
      </c>
      <c r="G62" s="301"/>
      <c r="H62" s="311">
        <v>400000</v>
      </c>
      <c r="I62" s="311">
        <v>400000</v>
      </c>
      <c r="J62" s="311">
        <f>AVERAGE(H62:I62)</f>
        <v>400000</v>
      </c>
      <c r="K62" s="301"/>
      <c r="L62" s="309" t="str">
        <f>IF(INDEX(MO_SNA_IsHistoricalPeriod,,MATCH(F62,MO_Common_ColumnHeader,0)),"Actual","Estimate")</f>
        <v>Actual</v>
      </c>
      <c r="M62" s="311" t="str">
        <f ca="1">IFERROR(INDEX(INDIRECT(E62),0,MATCH(F62,MO_Common_ColumnHeader,0)),"N/A")</f>
        <v>N/A</v>
      </c>
      <c r="N62" s="301"/>
      <c r="O62" s="318" t="str">
        <f ca="1">IF(ISNUMBER(M62),M62-J62,"N/A")</f>
        <v>N/A</v>
      </c>
      <c r="P62" s="319" t="str">
        <f ca="1">IFERROR(IF(ISNUMBER(M62),(M62-J62)/ABS(J62),"N/A"),"N/A")</f>
        <v>N/A</v>
      </c>
      <c r="Q62" s="301"/>
      <c r="R62" s="312">
        <v>43859</v>
      </c>
      <c r="S62" s="446" t="s">
        <v>365</v>
      </c>
      <c r="T62" s="301"/>
    </row>
    <row r="63" spans="1:20" x14ac:dyDescent="0.25">
      <c r="A63" s="286">
        <v>48</v>
      </c>
      <c r="B63" s="301"/>
      <c r="C63" s="301"/>
      <c r="D63" s="297"/>
      <c r="E63" s="301"/>
      <c r="F63" s="301"/>
      <c r="G63" s="301"/>
      <c r="H63" s="301"/>
      <c r="I63" s="301"/>
      <c r="J63" s="301"/>
      <c r="K63" s="301"/>
      <c r="L63" s="301"/>
      <c r="M63" s="301"/>
      <c r="N63" s="301"/>
      <c r="O63" s="297"/>
      <c r="P63" s="297"/>
      <c r="Q63" s="301"/>
      <c r="R63" s="301"/>
      <c r="S63" s="322"/>
      <c r="T63" s="301"/>
    </row>
    <row r="64" spans="1:20" x14ac:dyDescent="0.25">
      <c r="A64" s="286">
        <v>47</v>
      </c>
      <c r="B64" s="309" t="str">
        <f>IF(INDEX(MO_SNA_IsHistoricalPeriod,,MATCH(F64,MO_Common_ColumnHeader,0)),"Historical","Forward")</f>
        <v>Historical</v>
      </c>
      <c r="C64" s="301"/>
      <c r="D64" s="317" t="str">
        <f ca="1">INDEX(INDIRECT(E64),0,COLUMN(MO_Common_Column_A))</f>
        <v>Total Deliveries, units</v>
      </c>
      <c r="E64" s="310" t="s">
        <v>366</v>
      </c>
      <c r="F64" s="309" t="s">
        <v>364</v>
      </c>
      <c r="G64" s="301"/>
      <c r="H64" s="311">
        <v>360000</v>
      </c>
      <c r="I64" s="311">
        <v>360000</v>
      </c>
      <c r="J64" s="311">
        <f>AVERAGE(H64:I64)</f>
        <v>360000</v>
      </c>
      <c r="K64" s="301"/>
      <c r="L64" s="309" t="str">
        <f>IF(INDEX(MO_SNA_IsHistoricalPeriod,,MATCH(F64,MO_Common_ColumnHeader,0)),"Actual","Estimate")</f>
        <v>Actual</v>
      </c>
      <c r="M64" s="311">
        <f ca="1">IFERROR(INDEX(INDIRECT(E64),0,MATCH(F64,MO_Common_ColumnHeader,0)),"N/A")</f>
        <v>367656</v>
      </c>
      <c r="N64" s="301"/>
      <c r="O64" s="318">
        <f ca="1">IF(ISNUMBER(M64),M64-J64,"N/A")</f>
        <v>7656</v>
      </c>
      <c r="P64" s="319">
        <f ca="1">IFERROR(IF(ISNUMBER(M64),(M64-J64)/ABS(J64),"N/A"),"N/A")</f>
        <v>2.1266666666666666E-2</v>
      </c>
      <c r="Q64" s="301"/>
      <c r="R64" s="312">
        <v>43761</v>
      </c>
      <c r="S64" s="446" t="s">
        <v>365</v>
      </c>
      <c r="T64" s="301"/>
    </row>
    <row r="65" spans="1:20" x14ac:dyDescent="0.25">
      <c r="A65" s="286">
        <v>46</v>
      </c>
      <c r="B65" s="301"/>
      <c r="C65" s="301"/>
      <c r="D65" s="297"/>
      <c r="E65" s="301"/>
      <c r="F65" s="301"/>
      <c r="G65" s="301"/>
      <c r="H65" s="301"/>
      <c r="I65" s="301"/>
      <c r="J65" s="301"/>
      <c r="K65" s="301"/>
      <c r="L65" s="301"/>
      <c r="M65" s="301"/>
      <c r="N65" s="301"/>
      <c r="O65" s="297"/>
      <c r="P65" s="297"/>
      <c r="Q65" s="301"/>
      <c r="R65" s="301"/>
      <c r="S65" s="322"/>
      <c r="T65" s="301"/>
    </row>
    <row r="66" spans="1:20" x14ac:dyDescent="0.25">
      <c r="A66" s="286">
        <v>45</v>
      </c>
      <c r="B66" s="309" t="str">
        <f>IF(INDEX(MO_SNA_IsHistoricalPeriod,,MATCH(F66,MO_Common_ColumnHeader,0)),"Historical","Forward")</f>
        <v>Historical</v>
      </c>
      <c r="C66" s="301"/>
      <c r="D66" s="317" t="str">
        <f ca="1">INDEX(INDIRECT(E66),0,COLUMN(MO_Common_Column_A))</f>
        <v>Total Deliveries, units</v>
      </c>
      <c r="E66" s="310" t="s">
        <v>366</v>
      </c>
      <c r="F66" s="309" t="s">
        <v>364</v>
      </c>
      <c r="G66" s="301"/>
      <c r="H66" s="311">
        <v>360000</v>
      </c>
      <c r="I66" s="311">
        <v>400000</v>
      </c>
      <c r="J66" s="311">
        <f>AVERAGE(H66:I66)</f>
        <v>380000</v>
      </c>
      <c r="K66" s="301"/>
      <c r="L66" s="309" t="str">
        <f>IF(INDEX(MO_SNA_IsHistoricalPeriod,,MATCH(F66,MO_Common_ColumnHeader,0)),"Actual","Estimate")</f>
        <v>Actual</v>
      </c>
      <c r="M66" s="311">
        <f ca="1">IFERROR(INDEX(INDIRECT(E66),0,MATCH(F66,MO_Common_ColumnHeader,0)),"N/A")</f>
        <v>367656</v>
      </c>
      <c r="N66" s="301"/>
      <c r="O66" s="318">
        <f ca="1">IF(ISNUMBER(M66),M66-J66,"N/A")</f>
        <v>-12344</v>
      </c>
      <c r="P66" s="319">
        <f ca="1">IFERROR(IF(ISNUMBER(M66),(M66-J66)/ABS(J66),"N/A"),"N/A")</f>
        <v>-3.2484210526315789E-2</v>
      </c>
      <c r="Q66" s="301"/>
      <c r="R66" s="312">
        <v>43670</v>
      </c>
      <c r="S66" s="446" t="s">
        <v>365</v>
      </c>
      <c r="T66" s="301"/>
    </row>
    <row r="67" spans="1:20" x14ac:dyDescent="0.25">
      <c r="A67" s="286">
        <v>44</v>
      </c>
      <c r="B67" s="309" t="str">
        <f>IF(INDEX(MO_SNA_IsHistoricalPeriod,,MATCH(F67,MO_Common_ColumnHeader,0)),"Historical","Forward")</f>
        <v>Historical</v>
      </c>
      <c r="C67" s="301"/>
      <c r="D67" s="317" t="str">
        <f ca="1">INDEX(INDIRECT(E67),0,COLUMN(MO_Common_Column_A))</f>
        <v>Capex</v>
      </c>
      <c r="E67" s="310" t="s">
        <v>367</v>
      </c>
      <c r="F67" s="309" t="s">
        <v>364</v>
      </c>
      <c r="G67" s="301"/>
      <c r="H67" s="314">
        <v>-2000</v>
      </c>
      <c r="I67" s="314">
        <v>-1500</v>
      </c>
      <c r="J67" s="314">
        <f>AVERAGE(H67:I67)</f>
        <v>-1750</v>
      </c>
      <c r="K67" s="301"/>
      <c r="L67" s="309" t="str">
        <f>IF(INDEX(MO_SNA_IsHistoricalPeriod,,MATCH(F67,MO_Common_ColumnHeader,0)),"Actual","Estimate")</f>
        <v>Actual</v>
      </c>
      <c r="M67" s="314">
        <f ca="1">IFERROR(INDEX(INDIRECT(E67),0,MATCH(F67,MO_Common_ColumnHeader,0)),"N/A")</f>
        <v>-1437</v>
      </c>
      <c r="N67" s="301"/>
      <c r="O67" s="320">
        <f ca="1">IF(ISNUMBER(M67),M67-J67,"N/A")</f>
        <v>313</v>
      </c>
      <c r="P67" s="319">
        <f ca="1">IFERROR(IF(ISNUMBER(M67),(M67-J67)/ABS(J67),"N/A"),"N/A")</f>
        <v>0.17885714285714285</v>
      </c>
      <c r="Q67" s="301"/>
      <c r="R67" s="312">
        <v>43670</v>
      </c>
      <c r="S67" s="446" t="s">
        <v>365</v>
      </c>
      <c r="T67" s="301"/>
    </row>
    <row r="68" spans="1:20" x14ac:dyDescent="0.25">
      <c r="A68" s="286">
        <v>43</v>
      </c>
      <c r="B68" s="301"/>
      <c r="C68" s="301"/>
      <c r="D68" s="297"/>
      <c r="E68" s="301"/>
      <c r="F68" s="301"/>
      <c r="G68" s="301"/>
      <c r="H68" s="301"/>
      <c r="I68" s="301"/>
      <c r="J68" s="301"/>
      <c r="K68" s="301"/>
      <c r="L68" s="301"/>
      <c r="M68" s="301"/>
      <c r="N68" s="301"/>
      <c r="O68" s="297"/>
      <c r="P68" s="297"/>
      <c r="Q68" s="301"/>
      <c r="R68" s="301"/>
      <c r="S68" s="322"/>
      <c r="T68" s="301"/>
    </row>
    <row r="69" spans="1:20" x14ac:dyDescent="0.25">
      <c r="A69" s="286">
        <v>42</v>
      </c>
      <c r="B69" s="309" t="str">
        <f>IF(INDEX(MO_SNA_IsHistoricalPeriod,,MATCH(F69,MO_Common_ColumnHeader,0)),"Historical","Forward")</f>
        <v>Historical</v>
      </c>
      <c r="C69" s="301"/>
      <c r="D69" s="317" t="str">
        <f ca="1">INDEX(INDIRECT(E69),0,COLUMN(MO_Common_Column_A))</f>
        <v>Total Deliveries, units</v>
      </c>
      <c r="E69" s="310" t="s">
        <v>366</v>
      </c>
      <c r="F69" s="309" t="s">
        <v>364</v>
      </c>
      <c r="G69" s="301"/>
      <c r="H69" s="311">
        <v>360000</v>
      </c>
      <c r="I69" s="311">
        <v>400000</v>
      </c>
      <c r="J69" s="311">
        <f>AVERAGE(H69:I69)</f>
        <v>380000</v>
      </c>
      <c r="K69" s="301"/>
      <c r="L69" s="309" t="str">
        <f>IF(INDEX(MO_SNA_IsHistoricalPeriod,,MATCH(F69,MO_Common_ColumnHeader,0)),"Actual","Estimate")</f>
        <v>Actual</v>
      </c>
      <c r="M69" s="311">
        <f ca="1">IFERROR(INDEX(INDIRECT(E69),0,MATCH(F69,MO_Common_ColumnHeader,0)),"N/A")</f>
        <v>367656</v>
      </c>
      <c r="N69" s="301"/>
      <c r="O69" s="318">
        <f ca="1">IF(ISNUMBER(M69),M69-J69,"N/A")</f>
        <v>-12344</v>
      </c>
      <c r="P69" s="319">
        <f ca="1">IFERROR(IF(ISNUMBER(M69),(M69-J69)/ABS(J69),"N/A"),"N/A")</f>
        <v>-3.2484210526315789E-2</v>
      </c>
      <c r="Q69" s="301"/>
      <c r="R69" s="312">
        <v>43579</v>
      </c>
      <c r="S69" s="446" t="s">
        <v>365</v>
      </c>
      <c r="T69" s="301"/>
    </row>
    <row r="70" spans="1:20" x14ac:dyDescent="0.25">
      <c r="A70" s="286">
        <v>41</v>
      </c>
      <c r="B70" s="309" t="str">
        <f>IF(INDEX(MO_SNA_IsHistoricalPeriod,,MATCH(F70,MO_Common_ColumnHeader,0)),"Historical","Forward")</f>
        <v>Historical</v>
      </c>
      <c r="C70" s="301"/>
      <c r="D70" s="317" t="str">
        <f ca="1">INDEX(INDIRECT(E70),0,COLUMN(MO_Common_Column_A))</f>
        <v>Gross Margin, %</v>
      </c>
      <c r="E70" s="310" t="s">
        <v>461</v>
      </c>
      <c r="F70" s="309" t="s">
        <v>364</v>
      </c>
      <c r="G70" s="301"/>
      <c r="H70" s="313">
        <v>0.25</v>
      </c>
      <c r="I70" s="313">
        <v>0.25</v>
      </c>
      <c r="J70" s="313">
        <f>AVERAGE(H70:I70)</f>
        <v>0.25</v>
      </c>
      <c r="K70" s="299"/>
      <c r="L70" s="309" t="str">
        <f>IF(INDEX(MO_SNA_IsHistoricalPeriod,,MATCH(F70,MO_Common_ColumnHeader,0)),"Actual","Estimate")</f>
        <v>Actual</v>
      </c>
      <c r="M70" s="313">
        <f ca="1">IFERROR(INDEX(INDIRECT(E70),0,MATCH(F70,MO_Common_ColumnHeader,0)),"N/A")</f>
        <v>0.16555456098950283</v>
      </c>
      <c r="N70" s="299"/>
      <c r="O70" s="319">
        <f ca="1">IF(ISNUMBER(M70),M70-J70,"N/A")</f>
        <v>-8.444543901049717E-2</v>
      </c>
      <c r="P70" s="319">
        <f ca="1">IFERROR(IF(ISNUMBER(M70),(M70-J70)/ABS(J70),"N/A"),"N/A")</f>
        <v>-0.33778175604198868</v>
      </c>
      <c r="Q70" s="301"/>
      <c r="R70" s="312">
        <v>43579</v>
      </c>
      <c r="S70" s="446" t="s">
        <v>365</v>
      </c>
      <c r="T70" s="301"/>
    </row>
    <row r="71" spans="1:20" x14ac:dyDescent="0.25">
      <c r="A71" s="286">
        <v>40</v>
      </c>
      <c r="B71" s="309" t="str">
        <f>IF(INDEX(MO_SNA_IsHistoricalPeriod,,MATCH(F71,MO_Common_ColumnHeader,0)),"Historical","Forward")</f>
        <v>Historical</v>
      </c>
      <c r="C71" s="301"/>
      <c r="D71" s="317" t="str">
        <f ca="1">INDEX(INDIRECT(E71),0,COLUMN(MO_Common_Column_A))</f>
        <v>Capex</v>
      </c>
      <c r="E71" s="310" t="s">
        <v>367</v>
      </c>
      <c r="F71" s="309" t="s">
        <v>364</v>
      </c>
      <c r="G71" s="301"/>
      <c r="H71" s="314">
        <v>-2500</v>
      </c>
      <c r="I71" s="314">
        <v>-2000</v>
      </c>
      <c r="J71" s="314">
        <f>AVERAGE(H71:I71)</f>
        <v>-2250</v>
      </c>
      <c r="K71" s="301"/>
      <c r="L71" s="309" t="str">
        <f>IF(INDEX(MO_SNA_IsHistoricalPeriod,,MATCH(F71,MO_Common_ColumnHeader,0)),"Actual","Estimate")</f>
        <v>Actual</v>
      </c>
      <c r="M71" s="314">
        <f ca="1">IFERROR(INDEX(INDIRECT(E71),0,MATCH(F71,MO_Common_ColumnHeader,0)),"N/A")</f>
        <v>-1437</v>
      </c>
      <c r="N71" s="301"/>
      <c r="O71" s="320">
        <f ca="1">IF(ISNUMBER(M71),M71-J71,"N/A")</f>
        <v>813</v>
      </c>
      <c r="P71" s="319">
        <f ca="1">IFERROR(IF(ISNUMBER(M71),(M71-J71)/ABS(J71),"N/A"),"N/A")</f>
        <v>0.36133333333333334</v>
      </c>
      <c r="Q71" s="301"/>
      <c r="R71" s="312">
        <v>43579</v>
      </c>
      <c r="S71" s="446" t="s">
        <v>365</v>
      </c>
      <c r="T71" s="301"/>
    </row>
    <row r="72" spans="1:20" x14ac:dyDescent="0.25">
      <c r="A72" s="286">
        <v>39</v>
      </c>
      <c r="B72" s="301"/>
      <c r="C72" s="301"/>
      <c r="D72" s="297"/>
      <c r="E72" s="301"/>
      <c r="F72" s="301"/>
      <c r="G72" s="301"/>
      <c r="H72" s="301"/>
      <c r="I72" s="301"/>
      <c r="J72" s="301"/>
      <c r="K72" s="301"/>
      <c r="L72" s="301"/>
      <c r="M72" s="301"/>
      <c r="N72" s="301"/>
      <c r="O72" s="297"/>
      <c r="P72" s="297"/>
      <c r="Q72" s="301"/>
      <c r="R72" s="301"/>
      <c r="S72" s="322"/>
      <c r="T72" s="301"/>
    </row>
    <row r="73" spans="1:20" x14ac:dyDescent="0.25">
      <c r="A73" s="286">
        <v>38</v>
      </c>
      <c r="B73" s="309" t="str">
        <f>IF(INDEX(MO_SNA_IsHistoricalPeriod,,MATCH(F73,MO_Common_ColumnHeader,0)),"Historical","Forward")</f>
        <v>Historical</v>
      </c>
      <c r="C73" s="301"/>
      <c r="D73" s="317" t="str">
        <f ca="1">INDEX(INDIRECT(E73),0,COLUMN(MO_Common_Column_A))</f>
        <v>Total Deliveries, units</v>
      </c>
      <c r="E73" s="310" t="s">
        <v>366</v>
      </c>
      <c r="F73" s="309" t="s">
        <v>369</v>
      </c>
      <c r="G73" s="301"/>
      <c r="H73" s="311">
        <v>90000</v>
      </c>
      <c r="I73" s="311">
        <v>100000</v>
      </c>
      <c r="J73" s="311">
        <f>AVERAGE(H73:I73)</f>
        <v>95000</v>
      </c>
      <c r="K73" s="301"/>
      <c r="L73" s="309" t="str">
        <f>IF(INDEX(MO_SNA_IsHistoricalPeriod,,MATCH(F73,MO_Common_ColumnHeader,0)),"Actual","Estimate")</f>
        <v>Actual</v>
      </c>
      <c r="M73" s="311">
        <f ca="1">IFERROR(INDEX(INDIRECT(E73),0,MATCH(F73,MO_Common_ColumnHeader,0)),"N/A")</f>
        <v>95356</v>
      </c>
      <c r="N73" s="301"/>
      <c r="O73" s="318">
        <f ca="1">IF(ISNUMBER(M73),M73-J73,"N/A")</f>
        <v>356</v>
      </c>
      <c r="P73" s="319">
        <f ca="1">IFERROR(IF(ISNUMBER(M73),(M73-J73)/ABS(J73),"N/A"),"N/A")</f>
        <v>3.7473684210526316E-3</v>
      </c>
      <c r="Q73" s="301"/>
      <c r="R73" s="312">
        <v>43579</v>
      </c>
      <c r="S73" s="446" t="s">
        <v>365</v>
      </c>
      <c r="T73" s="301"/>
    </row>
    <row r="74" spans="1:20" x14ac:dyDescent="0.25">
      <c r="A74" s="286">
        <v>37</v>
      </c>
      <c r="B74" s="301"/>
      <c r="C74" s="301"/>
      <c r="D74" s="297"/>
      <c r="E74" s="301"/>
      <c r="F74" s="301"/>
      <c r="G74" s="301"/>
      <c r="H74" s="301"/>
      <c r="I74" s="301"/>
      <c r="J74" s="301"/>
      <c r="K74" s="301"/>
      <c r="L74" s="301"/>
      <c r="M74" s="301"/>
      <c r="N74" s="301"/>
      <c r="O74" s="297"/>
      <c r="P74" s="297"/>
      <c r="Q74" s="301"/>
      <c r="R74" s="301"/>
      <c r="S74" s="322"/>
      <c r="T74" s="301"/>
    </row>
    <row r="75" spans="1:20" x14ac:dyDescent="0.25">
      <c r="A75" s="286">
        <v>36</v>
      </c>
      <c r="B75" s="309" t="str">
        <f>IF(INDEX(MO_SNA_IsHistoricalPeriod,,MATCH(F75,MO_Common_ColumnHeader,0)),"Historical","Forward")</f>
        <v>Historical</v>
      </c>
      <c r="C75" s="301"/>
      <c r="D75" s="317" t="s">
        <v>363</v>
      </c>
      <c r="E75" s="310"/>
      <c r="F75" s="309" t="s">
        <v>364</v>
      </c>
      <c r="G75" s="301"/>
      <c r="H75" s="313">
        <v>0.25</v>
      </c>
      <c r="I75" s="313">
        <v>0.25</v>
      </c>
      <c r="J75" s="313">
        <f>AVERAGE(H75:I75)</f>
        <v>0.25</v>
      </c>
      <c r="K75" s="299"/>
      <c r="L75" s="309" t="str">
        <f>IF(INDEX(MO_SNA_IsHistoricalPeriod,,MATCH(F75,MO_Common_ColumnHeader,0)),"Actual","Estimate")</f>
        <v>Actual</v>
      </c>
      <c r="M75" s="313" t="str">
        <f ca="1">IFERROR(INDEX(INDIRECT(E75),0,MATCH(F75,MO_Common_ColumnHeader,0)),"N/A")</f>
        <v>N/A</v>
      </c>
      <c r="N75" s="299"/>
      <c r="O75" s="319" t="str">
        <f ca="1">IF(ISNUMBER(M75),M75-J75,"N/A")</f>
        <v>N/A</v>
      </c>
      <c r="P75" s="319" t="str">
        <f ca="1">IFERROR(IF(ISNUMBER(M75),(M75-J75)/ABS(J75),"N/A"),"N/A")</f>
        <v>N/A</v>
      </c>
      <c r="Q75" s="301"/>
      <c r="R75" s="312">
        <v>43495</v>
      </c>
      <c r="S75" s="446" t="s">
        <v>365</v>
      </c>
      <c r="T75" s="301"/>
    </row>
    <row r="76" spans="1:20" x14ac:dyDescent="0.25">
      <c r="A76" s="286">
        <v>35</v>
      </c>
      <c r="B76" s="309" t="str">
        <f>IF(INDEX(MO_SNA_IsHistoricalPeriod,,MATCH(F76,MO_Common_ColumnHeader,0)),"Historical","Forward")</f>
        <v>Historical</v>
      </c>
      <c r="C76" s="301"/>
      <c r="D76" s="317" t="str">
        <f ca="1">INDEX(INDIRECT(E76),0,COLUMN(MO_Common_Column_A))</f>
        <v>Total Deliveries, units</v>
      </c>
      <c r="E76" s="310" t="s">
        <v>366</v>
      </c>
      <c r="F76" s="309" t="s">
        <v>364</v>
      </c>
      <c r="G76" s="301"/>
      <c r="H76" s="311">
        <v>360000</v>
      </c>
      <c r="I76" s="311">
        <v>400000</v>
      </c>
      <c r="J76" s="311">
        <f>AVERAGE(H76:I76)</f>
        <v>380000</v>
      </c>
      <c r="K76" s="301"/>
      <c r="L76" s="309" t="str">
        <f>IF(INDEX(MO_SNA_IsHistoricalPeriod,,MATCH(F76,MO_Common_ColumnHeader,0)),"Actual","Estimate")</f>
        <v>Actual</v>
      </c>
      <c r="M76" s="311">
        <f ca="1">IFERROR(INDEX(INDIRECT(E76),0,MATCH(F76,MO_Common_ColumnHeader,0)),"N/A")</f>
        <v>367656</v>
      </c>
      <c r="N76" s="301"/>
      <c r="O76" s="318">
        <f ca="1">IF(ISNUMBER(M76),M76-J76,"N/A")</f>
        <v>-12344</v>
      </c>
      <c r="P76" s="319">
        <f ca="1">IFERROR(IF(ISNUMBER(M76),(M76-J76)/ABS(J76),"N/A"),"N/A")</f>
        <v>-3.2484210526315789E-2</v>
      </c>
      <c r="Q76" s="301"/>
      <c r="R76" s="312">
        <v>43495</v>
      </c>
      <c r="S76" s="446" t="s">
        <v>365</v>
      </c>
      <c r="T76" s="301"/>
    </row>
    <row r="77" spans="1:20" x14ac:dyDescent="0.25">
      <c r="A77" s="286">
        <v>34</v>
      </c>
      <c r="B77" s="309" t="str">
        <f>IF(INDEX(MO_SNA_IsHistoricalPeriod,,MATCH(F77,MO_Common_ColumnHeader,0)),"Historical","Forward")</f>
        <v>Historical</v>
      </c>
      <c r="C77" s="301"/>
      <c r="D77" s="317" t="str">
        <f ca="1">INDEX(INDIRECT(E77),0,COLUMN(MO_Common_Column_A))</f>
        <v>Capex</v>
      </c>
      <c r="E77" s="310" t="s">
        <v>367</v>
      </c>
      <c r="F77" s="309" t="s">
        <v>364</v>
      </c>
      <c r="G77" s="301"/>
      <c r="H77" s="314">
        <v>-2500</v>
      </c>
      <c r="I77" s="314">
        <v>-2000</v>
      </c>
      <c r="J77" s="314">
        <f>AVERAGE(H77:I77)</f>
        <v>-2250</v>
      </c>
      <c r="K77" s="301"/>
      <c r="L77" s="309" t="str">
        <f>IF(INDEX(MO_SNA_IsHistoricalPeriod,,MATCH(F77,MO_Common_ColumnHeader,0)),"Actual","Estimate")</f>
        <v>Actual</v>
      </c>
      <c r="M77" s="314">
        <f ca="1">IFERROR(INDEX(INDIRECT(E77),0,MATCH(F77,MO_Common_ColumnHeader,0)),"N/A")</f>
        <v>-1437</v>
      </c>
      <c r="N77" s="301"/>
      <c r="O77" s="320">
        <f ca="1">IF(ISNUMBER(M77),M77-J77,"N/A")</f>
        <v>813</v>
      </c>
      <c r="P77" s="319">
        <f ca="1">IFERROR(IF(ISNUMBER(M77),(M77-J77)/ABS(J77),"N/A"),"N/A")</f>
        <v>0.36133333333333334</v>
      </c>
      <c r="Q77" s="301"/>
      <c r="R77" s="312">
        <v>43495</v>
      </c>
      <c r="S77" s="446" t="s">
        <v>365</v>
      </c>
      <c r="T77" s="301"/>
    </row>
    <row r="78" spans="1:20" x14ac:dyDescent="0.25">
      <c r="A78" s="286">
        <v>33</v>
      </c>
      <c r="B78" s="301"/>
      <c r="C78" s="301"/>
      <c r="D78" s="297"/>
      <c r="E78" s="301"/>
      <c r="F78" s="301"/>
      <c r="G78" s="301"/>
      <c r="H78" s="301"/>
      <c r="I78" s="301"/>
      <c r="J78" s="301"/>
      <c r="K78" s="301"/>
      <c r="L78" s="301"/>
      <c r="M78" s="301"/>
      <c r="N78" s="301"/>
      <c r="O78" s="297"/>
      <c r="P78" s="297"/>
      <c r="Q78" s="301"/>
      <c r="R78" s="301"/>
      <c r="S78" s="322"/>
      <c r="T78" s="301"/>
    </row>
    <row r="79" spans="1:20" x14ac:dyDescent="0.25">
      <c r="A79" s="286">
        <v>32</v>
      </c>
      <c r="B79" s="309" t="str">
        <f>IF(INDEX(MO_SNA_IsHistoricalPeriod,,MATCH(F79,MO_Common_ColumnHeader,0)),"Historical","Forward")</f>
        <v>Historical</v>
      </c>
      <c r="C79" s="301"/>
      <c r="D79" s="317" t="str">
        <f ca="1">INDEX(INDIRECT(E79),0,COLUMN(MO_Common_Column_A))</f>
        <v>Total Deliveries, units</v>
      </c>
      <c r="E79" s="310" t="s">
        <v>366</v>
      </c>
      <c r="F79" s="309" t="s">
        <v>369</v>
      </c>
      <c r="G79" s="301"/>
      <c r="H79" s="311">
        <v>90000</v>
      </c>
      <c r="I79" s="311">
        <v>100000</v>
      </c>
      <c r="J79" s="311">
        <f>AVERAGE(H79:I79)</f>
        <v>95000</v>
      </c>
      <c r="K79" s="301"/>
      <c r="L79" s="309" t="str">
        <f>IF(INDEX(MO_SNA_IsHistoricalPeriod,,MATCH(F79,MO_Common_ColumnHeader,0)),"Actual","Estimate")</f>
        <v>Actual</v>
      </c>
      <c r="M79" s="311">
        <f ca="1">IFERROR(INDEX(INDIRECT(E79),0,MATCH(F79,MO_Common_ColumnHeader,0)),"N/A")</f>
        <v>95356</v>
      </c>
      <c r="N79" s="301"/>
      <c r="O79" s="318">
        <f ca="1">IF(ISNUMBER(M79),M79-J79,"N/A")</f>
        <v>356</v>
      </c>
      <c r="P79" s="319">
        <f ca="1">IFERROR(IF(ISNUMBER(M79),(M79-J79)/ABS(J79),"N/A"),"N/A")</f>
        <v>3.7473684210526316E-3</v>
      </c>
      <c r="Q79" s="301"/>
      <c r="R79" s="312">
        <v>43495</v>
      </c>
      <c r="S79" s="446" t="s">
        <v>365</v>
      </c>
      <c r="T79" s="301"/>
    </row>
    <row r="80" spans="1:20" x14ac:dyDescent="0.25">
      <c r="A80" s="286">
        <v>31</v>
      </c>
      <c r="B80" s="301"/>
      <c r="C80" s="301"/>
      <c r="D80" s="297"/>
      <c r="E80" s="301"/>
      <c r="F80" s="301"/>
      <c r="G80" s="301"/>
      <c r="H80" s="301"/>
      <c r="I80" s="301"/>
      <c r="J80" s="301"/>
      <c r="K80" s="301"/>
      <c r="L80" s="301"/>
      <c r="M80" s="301"/>
      <c r="N80" s="301"/>
      <c r="O80" s="297"/>
      <c r="P80" s="297"/>
      <c r="Q80" s="301"/>
      <c r="R80" s="301"/>
      <c r="S80" s="322"/>
      <c r="T80" s="301"/>
    </row>
    <row r="81" spans="1:20" x14ac:dyDescent="0.25">
      <c r="A81" s="286">
        <v>30</v>
      </c>
      <c r="B81" s="309" t="str">
        <f>IF(INDEX(MO_SNA_IsHistoricalPeriod,,MATCH(F81,MO_Common_ColumnHeader,0)),"Historical","Forward")</f>
        <v>Historical</v>
      </c>
      <c r="C81" s="301"/>
      <c r="D81" s="317" t="s">
        <v>363</v>
      </c>
      <c r="E81" s="310"/>
      <c r="F81" s="309" t="s">
        <v>364</v>
      </c>
      <c r="G81" s="301"/>
      <c r="H81" s="313">
        <v>0.25</v>
      </c>
      <c r="I81" s="313">
        <v>0.25</v>
      </c>
      <c r="J81" s="313">
        <f>AVERAGE(H81:I81)</f>
        <v>0.25</v>
      </c>
      <c r="K81" s="299"/>
      <c r="L81" s="309" t="str">
        <f>IF(INDEX(MO_SNA_IsHistoricalPeriod,,MATCH(F81,MO_Common_ColumnHeader,0)),"Actual","Estimate")</f>
        <v>Actual</v>
      </c>
      <c r="M81" s="313" t="str">
        <f ca="1">IFERROR(INDEX(INDIRECT(E81),0,MATCH(F81,MO_Common_ColumnHeader,0)),"N/A")</f>
        <v>N/A</v>
      </c>
      <c r="N81" s="299"/>
      <c r="O81" s="319" t="str">
        <f ca="1">IF(ISNUMBER(M81),M81-J81,"N/A")</f>
        <v>N/A</v>
      </c>
      <c r="P81" s="319" t="str">
        <f ca="1">IFERROR(IF(ISNUMBER(M81),(M81-J81)/ABS(J81),"N/A"),"N/A")</f>
        <v>N/A</v>
      </c>
      <c r="Q81" s="301"/>
      <c r="R81" s="312">
        <v>43495</v>
      </c>
      <c r="S81" s="321" t="s">
        <v>365</v>
      </c>
      <c r="T81" s="301"/>
    </row>
    <row r="82" spans="1:20" x14ac:dyDescent="0.25">
      <c r="A82" s="286">
        <v>29</v>
      </c>
      <c r="B82" s="309" t="str">
        <f>IF(INDEX(MO_SNA_IsHistoricalPeriod,,MATCH(F82,MO_Common_ColumnHeader,0)),"Historical","Forward")</f>
        <v>Historical</v>
      </c>
      <c r="C82" s="301"/>
      <c r="D82" s="317" t="str">
        <f ca="1">INDEX(INDIRECT(E82),0,COLUMN(MO_Common_Column_A))</f>
        <v>Total Deliveries, units</v>
      </c>
      <c r="E82" s="310" t="s">
        <v>366</v>
      </c>
      <c r="F82" s="309" t="s">
        <v>364</v>
      </c>
      <c r="G82" s="301"/>
      <c r="H82" s="311">
        <v>360000</v>
      </c>
      <c r="I82" s="311">
        <v>400000</v>
      </c>
      <c r="J82" s="311">
        <f>AVERAGE(H82:I82)</f>
        <v>380000</v>
      </c>
      <c r="K82" s="301"/>
      <c r="L82" s="309" t="str">
        <f>IF(INDEX(MO_SNA_IsHistoricalPeriod,,MATCH(F82,MO_Common_ColumnHeader,0)),"Actual","Estimate")</f>
        <v>Actual</v>
      </c>
      <c r="M82" s="311">
        <f ca="1">IFERROR(INDEX(INDIRECT(E82),0,MATCH(F82,MO_Common_ColumnHeader,0)),"N/A")</f>
        <v>367656</v>
      </c>
      <c r="N82" s="301"/>
      <c r="O82" s="318">
        <f ca="1">IF(ISNUMBER(M82),M82-J82,"N/A")</f>
        <v>-12344</v>
      </c>
      <c r="P82" s="319">
        <f ca="1">IFERROR(IF(ISNUMBER(M82),(M82-J82)/ABS(J82),"N/A"),"N/A")</f>
        <v>-3.2484210526315789E-2</v>
      </c>
      <c r="Q82" s="301"/>
      <c r="R82" s="312">
        <v>43495</v>
      </c>
      <c r="S82" s="321" t="s">
        <v>365</v>
      </c>
      <c r="T82" s="301"/>
    </row>
    <row r="83" spans="1:20" x14ac:dyDescent="0.25">
      <c r="A83" s="286">
        <v>28</v>
      </c>
      <c r="B83" s="301"/>
      <c r="C83" s="301"/>
      <c r="D83" s="297"/>
      <c r="E83" s="301"/>
      <c r="F83" s="301"/>
      <c r="G83" s="301"/>
      <c r="H83" s="301"/>
      <c r="I83" s="301"/>
      <c r="J83" s="301"/>
      <c r="K83" s="301"/>
      <c r="L83" s="301"/>
      <c r="M83" s="301"/>
      <c r="N83" s="301"/>
      <c r="O83" s="297"/>
      <c r="P83" s="297"/>
      <c r="Q83" s="301"/>
      <c r="R83" s="301"/>
      <c r="S83" s="322"/>
      <c r="T83" s="301"/>
    </row>
    <row r="84" spans="1:20" x14ac:dyDescent="0.25">
      <c r="A84" s="286">
        <v>27</v>
      </c>
      <c r="B84" s="309" t="str">
        <f>IF(INDEX(MO_SNA_IsHistoricalPeriod,,MATCH(F84,MO_Common_ColumnHeader,0)),"Historical","Forward")</f>
        <v>Historical</v>
      </c>
      <c r="C84" s="301"/>
      <c r="D84" s="317" t="str">
        <f ca="1">INDEX(INDIRECT(E84),0,COLUMN(MO_Common_Column_A))</f>
        <v>Model S and Model X Cars Delivered, units</v>
      </c>
      <c r="E84" s="310" t="s">
        <v>368</v>
      </c>
      <c r="F84" s="309" t="s">
        <v>370</v>
      </c>
      <c r="G84" s="301"/>
      <c r="H84" s="311">
        <v>21815</v>
      </c>
      <c r="I84" s="311">
        <v>21815</v>
      </c>
      <c r="J84" s="311">
        <f>AVERAGE(H84:I84)</f>
        <v>21815</v>
      </c>
      <c r="K84" s="301"/>
      <c r="L84" s="309" t="str">
        <f>IF(INDEX(MO_SNA_IsHistoricalPeriod,,MATCH(F84,MO_Common_ColumnHeader,0)),"Actual","Estimate")</f>
        <v>Actual</v>
      </c>
      <c r="M84" s="311">
        <f ca="1">IFERROR(INDEX(INDIRECT(E84),0,MATCH(F84,MO_Common_ColumnHeader,0)),"N/A")</f>
        <v>12091</v>
      </c>
      <c r="N84" s="301"/>
      <c r="O84" s="318">
        <f ca="1">IF(ISNUMBER(M84),M84-J84,"N/A")</f>
        <v>-9724</v>
      </c>
      <c r="P84" s="319">
        <f ca="1">IFERROR(IF(ISNUMBER(M84),(M84-J84)/ABS(J84),"N/A"),"N/A")</f>
        <v>-0.4457483382993353</v>
      </c>
      <c r="Q84" s="301"/>
      <c r="R84" s="312">
        <v>43495</v>
      </c>
      <c r="S84" s="321" t="s">
        <v>365</v>
      </c>
      <c r="T84" s="301"/>
    </row>
    <row r="85" spans="1:20" x14ac:dyDescent="0.25">
      <c r="A85" s="286">
        <v>26</v>
      </c>
      <c r="B85" s="301"/>
      <c r="C85" s="301"/>
      <c r="D85" s="297"/>
      <c r="E85" s="301"/>
      <c r="F85" s="301"/>
      <c r="G85" s="301"/>
      <c r="H85" s="301"/>
      <c r="I85" s="301"/>
      <c r="J85" s="301"/>
      <c r="K85" s="301"/>
      <c r="L85" s="301"/>
      <c r="M85" s="301"/>
      <c r="N85" s="301"/>
      <c r="O85" s="297"/>
      <c r="P85" s="297"/>
      <c r="Q85" s="301"/>
      <c r="R85" s="301"/>
      <c r="S85" s="322"/>
      <c r="T85" s="301"/>
    </row>
    <row r="86" spans="1:20" x14ac:dyDescent="0.25">
      <c r="A86" s="286">
        <v>25</v>
      </c>
      <c r="B86" s="309" t="str">
        <f>IF(INDEX(MO_SNA_IsHistoricalPeriod,,MATCH(F86,MO_Common_ColumnHeader,0)),"Historical","Forward")</f>
        <v>Historical</v>
      </c>
      <c r="C86" s="301"/>
      <c r="D86" s="317" t="str">
        <f ca="1">INDEX(INDIRECT(E86),0,COLUMN(MO_Common_Column_A))</f>
        <v>Model S and Model X Cars Delivered, units</v>
      </c>
      <c r="E86" s="310" t="s">
        <v>368</v>
      </c>
      <c r="F86" s="309" t="s">
        <v>371</v>
      </c>
      <c r="G86" s="301"/>
      <c r="H86" s="311">
        <v>100000</v>
      </c>
      <c r="I86" s="311">
        <v>100000</v>
      </c>
      <c r="J86" s="311">
        <f>AVERAGE(H86:I86)</f>
        <v>100000</v>
      </c>
      <c r="K86" s="301"/>
      <c r="L86" s="309" t="str">
        <f>IF(INDEX(MO_SNA_IsHistoricalPeriod,,MATCH(F86,MO_Common_ColumnHeader,0)),"Actual","Estimate")</f>
        <v>Actual</v>
      </c>
      <c r="M86" s="311" t="s">
        <v>372</v>
      </c>
      <c r="N86" s="301"/>
      <c r="O86" s="318" t="str">
        <f>IF(ISNUMBER(M86),M86-J86,"N/A")</f>
        <v>N/A</v>
      </c>
      <c r="P86" s="319" t="str">
        <f>IFERROR(IF(ISNUMBER(M86),(M86-J86)/ABS(J86),"N/A"),"N/A")</f>
        <v>N/A</v>
      </c>
      <c r="Q86" s="301"/>
      <c r="R86" s="312">
        <v>43397</v>
      </c>
      <c r="S86" s="321" t="s">
        <v>365</v>
      </c>
      <c r="T86" s="301"/>
    </row>
    <row r="87" spans="1:20" x14ac:dyDescent="0.25">
      <c r="A87" s="286">
        <v>24</v>
      </c>
      <c r="B87" s="309" t="str">
        <f>IF(INDEX(MO_SNA_IsHistoricalPeriod,,MATCH(F87,MO_Common_ColumnHeader,0)),"Historical","Forward")</f>
        <v>Historical</v>
      </c>
      <c r="C87" s="301"/>
      <c r="D87" s="317" t="str">
        <f ca="1">INDEX(INDIRECT(E87),0,COLUMN(MO_Common_Column_A))</f>
        <v>Capex</v>
      </c>
      <c r="E87" s="310" t="s">
        <v>367</v>
      </c>
      <c r="F87" s="309" t="s">
        <v>371</v>
      </c>
      <c r="G87" s="301"/>
      <c r="H87" s="311">
        <v>-2500</v>
      </c>
      <c r="I87" s="311">
        <v>-2500</v>
      </c>
      <c r="J87" s="311">
        <f>AVERAGE(H87:I87)</f>
        <v>-2500</v>
      </c>
      <c r="K87" s="301"/>
      <c r="L87" s="309" t="str">
        <f>IF(INDEX(MO_SNA_IsHistoricalPeriod,,MATCH(F87,MO_Common_ColumnHeader,0)),"Actual","Estimate")</f>
        <v>Actual</v>
      </c>
      <c r="M87" s="311">
        <f ca="1">IFERROR(INDEX(INDIRECT(E87),0,MATCH(F87,MO_Common_ColumnHeader,0)),"N/A")</f>
        <v>-2319.5160000000001</v>
      </c>
      <c r="N87" s="301"/>
      <c r="O87" s="318">
        <f ca="1">IF(ISNUMBER(M87),M87-J87,"N/A")</f>
        <v>180.48399999999992</v>
      </c>
      <c r="P87" s="319">
        <f ca="1">IFERROR(IF(ISNUMBER(M87),(M87-J87)/ABS(J87),"N/A"),"N/A")</f>
        <v>7.2193599999999969E-2</v>
      </c>
      <c r="Q87" s="301"/>
      <c r="R87" s="312">
        <v>43397</v>
      </c>
      <c r="S87" s="321" t="s">
        <v>365</v>
      </c>
      <c r="T87" s="301"/>
    </row>
    <row r="88" spans="1:20" x14ac:dyDescent="0.25">
      <c r="A88" s="286">
        <v>23</v>
      </c>
      <c r="B88" s="301"/>
      <c r="C88" s="301"/>
      <c r="D88" s="297"/>
      <c r="E88" s="301"/>
      <c r="F88" s="301"/>
      <c r="G88" s="301"/>
      <c r="H88" s="301"/>
      <c r="I88" s="301"/>
      <c r="J88" s="301"/>
      <c r="K88" s="301"/>
      <c r="L88" s="301"/>
      <c r="M88" s="301"/>
      <c r="N88" s="301"/>
      <c r="O88" s="297"/>
      <c r="P88" s="297"/>
      <c r="Q88" s="301"/>
      <c r="R88" s="301"/>
      <c r="S88" s="322"/>
      <c r="T88" s="301"/>
    </row>
    <row r="89" spans="1:20" x14ac:dyDescent="0.25">
      <c r="A89" s="286">
        <v>22</v>
      </c>
      <c r="B89" s="309" t="str">
        <f>IF(INDEX(MO_SNA_IsHistoricalPeriod,,MATCH(F89,MO_Common_ColumnHeader,0)),"Historical","Forward")</f>
        <v>Historical</v>
      </c>
      <c r="C89" s="301"/>
      <c r="D89" s="317" t="str">
        <f ca="1">INDEX(INDIRECT(E89),0,COLUMN(MO_Common_Column_A))</f>
        <v>Model S and Model X Cars Delivered, units</v>
      </c>
      <c r="E89" s="310" t="s">
        <v>368</v>
      </c>
      <c r="F89" s="309" t="s">
        <v>371</v>
      </c>
      <c r="G89" s="301"/>
      <c r="H89" s="311">
        <v>100000</v>
      </c>
      <c r="I89" s="311">
        <v>100000</v>
      </c>
      <c r="J89" s="311">
        <f>AVERAGE(H89:I89)</f>
        <v>100000</v>
      </c>
      <c r="K89" s="301"/>
      <c r="L89" s="309" t="str">
        <f>IF(INDEX(MO_SNA_IsHistoricalPeriod,,MATCH(F89,MO_Common_ColumnHeader,0)),"Actual","Estimate")</f>
        <v>Actual</v>
      </c>
      <c r="M89" s="311" t="s">
        <v>372</v>
      </c>
      <c r="N89" s="301"/>
      <c r="O89" s="318" t="str">
        <f>IF(ISNUMBER(M89),M89-J89,"N/A")</f>
        <v>N/A</v>
      </c>
      <c r="P89" s="319" t="str">
        <f>IFERROR(IF(ISNUMBER(M89),(M89-J89)/ABS(J89),"N/A"),"N/A")</f>
        <v>N/A</v>
      </c>
      <c r="Q89" s="301"/>
      <c r="R89" s="312">
        <v>43313</v>
      </c>
      <c r="S89" s="321" t="s">
        <v>365</v>
      </c>
      <c r="T89" s="301"/>
    </row>
    <row r="90" spans="1:20" x14ac:dyDescent="0.25">
      <c r="A90" s="286">
        <v>21</v>
      </c>
      <c r="B90" s="309" t="str">
        <f>IF(INDEX(MO_SNA_IsHistoricalPeriod,,MATCH(F90,MO_Common_ColumnHeader,0)),"Historical","Forward")</f>
        <v>Historical</v>
      </c>
      <c r="C90" s="301"/>
      <c r="D90" s="317" t="str">
        <f ca="1">INDEX(INDIRECT(E90),0,COLUMN(MO_Common_Column_A))</f>
        <v>Capex</v>
      </c>
      <c r="E90" s="310" t="s">
        <v>367</v>
      </c>
      <c r="F90" s="309" t="s">
        <v>371</v>
      </c>
      <c r="G90" s="301"/>
      <c r="H90" s="311">
        <v>-2500</v>
      </c>
      <c r="I90" s="311">
        <v>-2500</v>
      </c>
      <c r="J90" s="311">
        <f>AVERAGE(H90:I90)</f>
        <v>-2500</v>
      </c>
      <c r="K90" s="301"/>
      <c r="L90" s="309" t="str">
        <f>IF(INDEX(MO_SNA_IsHistoricalPeriod,,MATCH(F90,MO_Common_ColumnHeader,0)),"Actual","Estimate")</f>
        <v>Actual</v>
      </c>
      <c r="M90" s="311">
        <f ca="1">IFERROR(INDEX(INDIRECT(E90),0,MATCH(F90,MO_Common_ColumnHeader,0)),"N/A")</f>
        <v>-2319.5160000000001</v>
      </c>
      <c r="N90" s="301"/>
      <c r="O90" s="318">
        <f ca="1">IF(ISNUMBER(M90),M90-J90,"N/A")</f>
        <v>180.48399999999992</v>
      </c>
      <c r="P90" s="319">
        <f ca="1">IFERROR(IF(ISNUMBER(M90),(M90-J90)/ABS(J90),"N/A"),"N/A")</f>
        <v>7.2193599999999969E-2</v>
      </c>
      <c r="Q90" s="301"/>
      <c r="R90" s="312">
        <v>43313</v>
      </c>
      <c r="S90" s="321" t="s">
        <v>365</v>
      </c>
      <c r="T90" s="301"/>
    </row>
    <row r="91" spans="1:20" x14ac:dyDescent="0.25">
      <c r="A91" s="286">
        <v>20</v>
      </c>
      <c r="B91" s="301"/>
      <c r="C91" s="301"/>
      <c r="D91" s="297"/>
      <c r="E91" s="301"/>
      <c r="F91" s="301"/>
      <c r="G91" s="301"/>
      <c r="H91" s="301"/>
      <c r="I91" s="301"/>
      <c r="J91" s="301"/>
      <c r="K91" s="301"/>
      <c r="L91" s="301"/>
      <c r="M91" s="301"/>
      <c r="N91" s="301"/>
      <c r="O91" s="297"/>
      <c r="P91" s="297"/>
      <c r="Q91" s="301"/>
      <c r="R91" s="301"/>
      <c r="S91" s="322"/>
      <c r="T91" s="301"/>
    </row>
    <row r="92" spans="1:20" x14ac:dyDescent="0.25">
      <c r="A92" s="286">
        <v>19</v>
      </c>
      <c r="B92" s="309" t="str">
        <f>IF(INDEX(MO_SNA_IsHistoricalPeriod,,MATCH(F92,MO_Common_ColumnHeader,0)),"Historical","Forward")</f>
        <v>Historical</v>
      </c>
      <c r="C92" s="301"/>
      <c r="D92" s="317" t="s">
        <v>373</v>
      </c>
      <c r="E92" s="310"/>
      <c r="F92" s="309" t="s">
        <v>374</v>
      </c>
      <c r="G92" s="301"/>
      <c r="H92" s="313">
        <v>0.2</v>
      </c>
      <c r="I92" s="313">
        <v>0.2</v>
      </c>
      <c r="J92" s="313">
        <f>AVERAGE(H92:I92)</f>
        <v>0.2</v>
      </c>
      <c r="K92" s="301"/>
      <c r="L92" s="309" t="str">
        <f>IF(INDEX(MO_SNA_IsHistoricalPeriod,,MATCH(F92,MO_Common_ColumnHeader,0)),"Actual","Estimate")</f>
        <v>Actual</v>
      </c>
      <c r="M92" s="313" t="str">
        <f ca="1">IFERROR(INDEX(INDIRECT(E92),0,MATCH(F92,MO_Common_ColumnHeader,0)),"N/A")</f>
        <v>N/A</v>
      </c>
      <c r="N92" s="301"/>
      <c r="O92" s="319" t="str">
        <f ca="1">IF(ISNUMBER(M92),M92-J92,"N/A")</f>
        <v>N/A</v>
      </c>
      <c r="P92" s="319" t="str">
        <f ca="1">IFERROR(IF(ISNUMBER(M92),(M92-J92)/ABS(J92),"N/A"),"N/A")</f>
        <v>N/A</v>
      </c>
      <c r="Q92" s="301"/>
      <c r="R92" s="312">
        <v>43313</v>
      </c>
      <c r="S92" s="321" t="s">
        <v>365</v>
      </c>
      <c r="T92" s="301"/>
    </row>
    <row r="93" spans="1:20" x14ac:dyDescent="0.25">
      <c r="A93" s="286">
        <v>18</v>
      </c>
      <c r="B93" s="301"/>
      <c r="C93" s="301"/>
      <c r="D93" s="297"/>
      <c r="E93" s="298"/>
      <c r="F93" s="301"/>
      <c r="G93" s="301"/>
      <c r="H93" s="1030"/>
      <c r="I93" s="1030"/>
      <c r="J93" s="1030"/>
      <c r="K93" s="301"/>
      <c r="L93" s="301"/>
      <c r="M93" s="1030"/>
      <c r="N93" s="301"/>
      <c r="O93" s="303"/>
      <c r="P93" s="139"/>
      <c r="Q93" s="301"/>
      <c r="R93" s="302"/>
      <c r="S93" s="323"/>
      <c r="T93" s="301"/>
    </row>
    <row r="94" spans="1:20" x14ac:dyDescent="0.25">
      <c r="A94" s="286">
        <v>17</v>
      </c>
      <c r="B94" s="309" t="str">
        <f>IF(INDEX(MO_SNA_IsHistoricalPeriod,,MATCH(F94,MO_Common_ColumnHeader,0)),"Historical","Forward")</f>
        <v>Historical</v>
      </c>
      <c r="C94" s="301"/>
      <c r="D94" s="317" t="str">
        <f ca="1">INDEX(INDIRECT(E94),0,COLUMN(MO_Common_Column_A))</f>
        <v>Net Income to NCI</v>
      </c>
      <c r="E94" s="310" t="s">
        <v>375</v>
      </c>
      <c r="F94" s="309" t="s">
        <v>376</v>
      </c>
      <c r="G94" s="301"/>
      <c r="H94" s="311">
        <v>-25.167000000000002</v>
      </c>
      <c r="I94" s="311">
        <v>-25.167000000000002</v>
      </c>
      <c r="J94" s="311">
        <f>AVERAGE(H94:I94)</f>
        <v>-25.167000000000002</v>
      </c>
      <c r="K94" s="301"/>
      <c r="L94" s="309" t="str">
        <f>IF(INDEX(MO_SNA_IsHistoricalPeriod,,MATCH(F94,MO_Common_ColumnHeader,0)),"Actual","Estimate")</f>
        <v>Actual</v>
      </c>
      <c r="M94" s="311">
        <f ca="1">IFERROR(INDEX(INDIRECT(E94),0,MATCH(F94,MO_Common_ColumnHeader,0)),"N/A")</f>
        <v>-56.843000000000004</v>
      </c>
      <c r="N94" s="301"/>
      <c r="O94" s="318">
        <f ca="1">IF(ISNUMBER(M94),M94-J94,"N/A")</f>
        <v>-31.676000000000002</v>
      </c>
      <c r="P94" s="319">
        <f ca="1">IFERROR(IF(ISNUMBER(M94),(M94-J94)/ABS(J94),"N/A"),"N/A")</f>
        <v>-1.2586323359955498</v>
      </c>
      <c r="Q94" s="301"/>
      <c r="R94" s="312">
        <v>43313</v>
      </c>
      <c r="S94" s="321" t="s">
        <v>365</v>
      </c>
      <c r="T94" s="301"/>
    </row>
    <row r="95" spans="1:20" x14ac:dyDescent="0.25">
      <c r="A95" s="286">
        <v>16</v>
      </c>
      <c r="B95" s="309" t="str">
        <f>IF(INDEX(MO_SNA_IsHistoricalPeriod,,MATCH(F95,MO_Common_ColumnHeader,0)),"Historical","Forward")</f>
        <v>Historical</v>
      </c>
      <c r="C95" s="301"/>
      <c r="D95" s="317" t="str">
        <f ca="1">INDEX(INDIRECT(E95),0,COLUMN(MO_Common_Column_A))</f>
        <v>Interest expense</v>
      </c>
      <c r="E95" s="310" t="s">
        <v>377</v>
      </c>
      <c r="F95" s="309" t="s">
        <v>376</v>
      </c>
      <c r="G95" s="301"/>
      <c r="H95" s="314">
        <v>170</v>
      </c>
      <c r="I95" s="314">
        <v>170</v>
      </c>
      <c r="J95" s="314">
        <f>AVERAGE(H95:I95)</f>
        <v>170</v>
      </c>
      <c r="K95" s="301"/>
      <c r="L95" s="309" t="str">
        <f>IF(INDEX(MO_SNA_IsHistoricalPeriod,,MATCH(F95,MO_Common_ColumnHeader,0)),"Actual","Estimate")</f>
        <v>Actual</v>
      </c>
      <c r="M95" s="314">
        <f ca="1">IFERROR(INDEX(INDIRECT(E95),0,MATCH(F95,MO_Common_ColumnHeader,0)),"N/A")</f>
        <v>175.22</v>
      </c>
      <c r="N95" s="301"/>
      <c r="O95" s="320">
        <f ca="1">IF(ISNUMBER(M95),M95-J95,"N/A")</f>
        <v>5.2199999999999989</v>
      </c>
      <c r="P95" s="319">
        <f ca="1">IFERROR(IF(ISNUMBER(M95),(M95-J95)/ABS(J95),"N/A"),"N/A")</f>
        <v>3.070588235294117E-2</v>
      </c>
      <c r="Q95" s="301"/>
      <c r="R95" s="312">
        <v>43313</v>
      </c>
      <c r="S95" s="321" t="s">
        <v>365</v>
      </c>
      <c r="T95" s="301"/>
    </row>
    <row r="96" spans="1:20" x14ac:dyDescent="0.25">
      <c r="A96" s="286">
        <v>15</v>
      </c>
      <c r="B96" s="309" t="str">
        <f>IF(INDEX(MO_SNA_IsHistoricalPeriod,,MATCH(F96,MO_Common_ColumnHeader,0)),"Historical","Forward")</f>
        <v>Historical</v>
      </c>
      <c r="C96" s="301"/>
      <c r="D96" s="317" t="s">
        <v>373</v>
      </c>
      <c r="E96" s="310"/>
      <c r="F96" s="309" t="s">
        <v>376</v>
      </c>
      <c r="G96" s="301"/>
      <c r="H96" s="313">
        <v>0.15</v>
      </c>
      <c r="I96" s="313">
        <v>0.15</v>
      </c>
      <c r="J96" s="313">
        <f>AVERAGE(H96:I96)</f>
        <v>0.15</v>
      </c>
      <c r="K96" s="301"/>
      <c r="L96" s="309" t="str">
        <f>IF(INDEX(MO_SNA_IsHistoricalPeriod,,MATCH(F96,MO_Common_ColumnHeader,0)),"Actual","Estimate")</f>
        <v>Actual</v>
      </c>
      <c r="M96" s="313" t="str">
        <f ca="1">IFERROR(INDEX(INDIRECT(E96),0,MATCH(F96,MO_Common_ColumnHeader,0)),"N/A")</f>
        <v>N/A</v>
      </c>
      <c r="N96" s="301"/>
      <c r="O96" s="319" t="str">
        <f ca="1">IF(ISNUMBER(M96),M96-J96,"N/A")</f>
        <v>N/A</v>
      </c>
      <c r="P96" s="319" t="str">
        <f ca="1">IFERROR(IF(ISNUMBER(M96),(M96-J96)/ABS(J96),"N/A"),"N/A")</f>
        <v>N/A</v>
      </c>
      <c r="Q96" s="301"/>
      <c r="R96" s="312">
        <v>43313</v>
      </c>
      <c r="S96" s="321" t="s">
        <v>365</v>
      </c>
      <c r="T96" s="301"/>
    </row>
    <row r="97" spans="1:20" x14ac:dyDescent="0.25">
      <c r="A97" s="286">
        <v>14</v>
      </c>
      <c r="B97" s="309" t="str">
        <f>IF(INDEX(MO_SNA_IsHistoricalPeriod,,MATCH(F97,MO_Common_ColumnHeader,0)),"Historical","Forward")</f>
        <v>Historical</v>
      </c>
      <c r="C97" s="301"/>
      <c r="D97" s="317" t="s">
        <v>378</v>
      </c>
      <c r="E97" s="310"/>
      <c r="F97" s="309" t="s">
        <v>376</v>
      </c>
      <c r="G97" s="301"/>
      <c r="H97" s="311">
        <v>50000</v>
      </c>
      <c r="I97" s="311">
        <v>55000</v>
      </c>
      <c r="J97" s="311">
        <f>AVERAGE(H97:I97)</f>
        <v>52500</v>
      </c>
      <c r="K97" s="301"/>
      <c r="L97" s="309" t="str">
        <f>IF(INDEX(MO_SNA_IsHistoricalPeriod,,MATCH(F97,MO_Common_ColumnHeader,0)),"Actual","Estimate")</f>
        <v>Actual</v>
      </c>
      <c r="M97" s="311" t="str">
        <f ca="1">IFERROR(INDEX(INDIRECT(E97),0,MATCH(F97,MO_Common_ColumnHeader,0)),"N/A")</f>
        <v>N/A</v>
      </c>
      <c r="N97" s="301"/>
      <c r="O97" s="318" t="str">
        <f ca="1">IF(ISNUMBER(M97),M97-J97,"N/A")</f>
        <v>N/A</v>
      </c>
      <c r="P97" s="319" t="str">
        <f ca="1">IFERROR(IF(ISNUMBER(M97),(M97-J97)/ABS(J97),"N/A"),"N/A")</f>
        <v>N/A</v>
      </c>
      <c r="Q97" s="301"/>
      <c r="R97" s="312">
        <v>43313</v>
      </c>
      <c r="S97" s="321" t="s">
        <v>365</v>
      </c>
      <c r="T97" s="301"/>
    </row>
    <row r="98" spans="1:20" x14ac:dyDescent="0.25">
      <c r="A98" s="286">
        <v>13</v>
      </c>
      <c r="B98" s="301"/>
      <c r="C98" s="301"/>
      <c r="D98" s="297"/>
      <c r="E98" s="298"/>
      <c r="F98" s="301"/>
      <c r="G98" s="301"/>
      <c r="H98" s="1030"/>
      <c r="I98" s="1030"/>
      <c r="J98" s="1030"/>
      <c r="K98" s="301"/>
      <c r="L98" s="301"/>
      <c r="M98" s="1030"/>
      <c r="N98" s="301"/>
      <c r="O98" s="303"/>
      <c r="P98" s="139"/>
      <c r="Q98" s="301"/>
      <c r="R98" s="302"/>
      <c r="S98" s="323"/>
      <c r="T98" s="301"/>
    </row>
    <row r="99" spans="1:20" x14ac:dyDescent="0.25">
      <c r="A99" s="286">
        <v>12</v>
      </c>
      <c r="B99" s="309" t="str">
        <f>IF(INDEX(MO_SNA_IsHistoricalPeriod,,MATCH(F99,MO_Common_ColumnHeader,0)),"Historical","Forward")</f>
        <v>Historical</v>
      </c>
      <c r="C99" s="301"/>
      <c r="D99" s="317" t="str">
        <f ca="1">INDEX(INDIRECT(E99),0,COLUMN(MO_Common_Column_A))</f>
        <v>Model S and Model X Cars Delivered, units</v>
      </c>
      <c r="E99" s="310" t="s">
        <v>368</v>
      </c>
      <c r="F99" s="309" t="s">
        <v>371</v>
      </c>
      <c r="G99" s="301"/>
      <c r="H99" s="311">
        <v>100000</v>
      </c>
      <c r="I99" s="311">
        <v>100000</v>
      </c>
      <c r="J99" s="311">
        <f>AVERAGE(H99:I99)</f>
        <v>100000</v>
      </c>
      <c r="K99" s="301"/>
      <c r="L99" s="309" t="str">
        <f>IF(INDEX(MO_SNA_IsHistoricalPeriod,,MATCH(F99,MO_Common_ColumnHeader,0)),"Actual","Estimate")</f>
        <v>Actual</v>
      </c>
      <c r="M99" s="311" t="s">
        <v>372</v>
      </c>
      <c r="N99" s="301"/>
      <c r="O99" s="318" t="str">
        <f>IF(ISNUMBER(M99),M99-J99,"N/A")</f>
        <v>N/A</v>
      </c>
      <c r="P99" s="319" t="str">
        <f>IFERROR(IF(ISNUMBER(M99),(M99-J99)/ABS(J99),"N/A"),"N/A")</f>
        <v>N/A</v>
      </c>
      <c r="Q99" s="301"/>
      <c r="R99" s="312">
        <v>43138</v>
      </c>
      <c r="S99" s="321" t="s">
        <v>365</v>
      </c>
      <c r="T99" s="301"/>
    </row>
    <row r="100" spans="1:20" x14ac:dyDescent="0.25">
      <c r="A100" s="286">
        <v>11</v>
      </c>
      <c r="B100" s="309" t="str">
        <f>IF(INDEX(MO_SNA_IsHistoricalPeriod,,MATCH(F100,MO_Common_ColumnHeader,0)),"Historical","Forward")</f>
        <v>Historical</v>
      </c>
      <c r="C100" s="301"/>
      <c r="D100" s="317" t="str">
        <f ca="1">INDEX(INDIRECT(E100),0,COLUMN(MO_Common_Column_A))</f>
        <v>Capex</v>
      </c>
      <c r="E100" s="310" t="s">
        <v>367</v>
      </c>
      <c r="F100" s="309" t="s">
        <v>371</v>
      </c>
      <c r="G100" s="301"/>
      <c r="H100" s="311">
        <v>-3000</v>
      </c>
      <c r="I100" s="311">
        <v>-3000</v>
      </c>
      <c r="J100" s="311">
        <f>AVERAGE(H100:I100)</f>
        <v>-3000</v>
      </c>
      <c r="K100" s="301"/>
      <c r="L100" s="309" t="str">
        <f>IF(INDEX(MO_SNA_IsHistoricalPeriod,,MATCH(F100,MO_Common_ColumnHeader,0)),"Actual","Estimate")</f>
        <v>Actual</v>
      </c>
      <c r="M100" s="311">
        <f ca="1">IFERROR(INDEX(INDIRECT(E100),0,MATCH(F100,MO_Common_ColumnHeader,0)),"N/A")</f>
        <v>-2319.5160000000001</v>
      </c>
      <c r="N100" s="301"/>
      <c r="O100" s="318">
        <f ca="1">IF(ISNUMBER(M100),M100-J100,"N/A")</f>
        <v>680.48399999999992</v>
      </c>
      <c r="P100" s="319">
        <f ca="1">IFERROR(IF(ISNUMBER(M100),(M100-J100)/ABS(J100),"N/A"),"N/A")</f>
        <v>0.22682799999999997</v>
      </c>
      <c r="Q100" s="301"/>
      <c r="R100" s="312">
        <v>43138</v>
      </c>
      <c r="S100" s="321" t="s">
        <v>365</v>
      </c>
      <c r="T100" s="301"/>
    </row>
    <row r="101" spans="1:20" x14ac:dyDescent="0.25">
      <c r="A101" s="286">
        <v>10</v>
      </c>
      <c r="B101" s="301"/>
      <c r="C101" s="301"/>
      <c r="D101" s="297"/>
      <c r="E101" s="301"/>
      <c r="F101" s="301"/>
      <c r="G101" s="301"/>
      <c r="H101" s="301"/>
      <c r="I101" s="301"/>
      <c r="J101" s="301"/>
      <c r="K101" s="301"/>
      <c r="L101" s="301"/>
      <c r="M101" s="301"/>
      <c r="N101" s="301"/>
      <c r="O101" s="297"/>
      <c r="P101" s="297"/>
      <c r="Q101" s="301"/>
      <c r="R101" s="301"/>
      <c r="S101" s="322"/>
      <c r="T101" s="301"/>
    </row>
    <row r="102" spans="1:20" x14ac:dyDescent="0.25">
      <c r="A102" s="286">
        <v>9</v>
      </c>
      <c r="B102" s="309" t="str">
        <f>IF(INDEX(MO_SNA_IsHistoricalPeriod,,MATCH(F102,MO_Common_ColumnHeader,0)),"Historical","Forward")</f>
        <v>Historical</v>
      </c>
      <c r="C102" s="301"/>
      <c r="D102" s="317" t="str">
        <f ca="1">INDEX(INDIRECT(E102),0,COLUMN(MO_Common_Column_A))</f>
        <v>Interest expense</v>
      </c>
      <c r="E102" s="310" t="s">
        <v>377</v>
      </c>
      <c r="F102" s="309" t="s">
        <v>379</v>
      </c>
      <c r="G102" s="301"/>
      <c r="H102" s="314">
        <v>160</v>
      </c>
      <c r="I102" s="314">
        <v>160</v>
      </c>
      <c r="J102" s="314">
        <f>AVERAGE(H102:I102)</f>
        <v>160</v>
      </c>
      <c r="K102" s="301"/>
      <c r="L102" s="309" t="str">
        <f>IF(INDEX(MO_SNA_IsHistoricalPeriod,,MATCH(F102,MO_Common_ColumnHeader,0)),"Actual","Estimate")</f>
        <v>Actual</v>
      </c>
      <c r="M102" s="314">
        <f ca="1">IFERROR(INDEX(INDIRECT(E102),0,MATCH(F102,MO_Common_ColumnHeader,0)),"N/A")</f>
        <v>163.58199999999999</v>
      </c>
      <c r="N102" s="301"/>
      <c r="O102" s="320">
        <f ca="1">IF(ISNUMBER(M102),M102-J102,"N/A")</f>
        <v>3.5819999999999936</v>
      </c>
      <c r="P102" s="319">
        <f ca="1">IFERROR(IF(ISNUMBER(M102),(M102-J102)/ABS(J102),"N/A"),"N/A")</f>
        <v>2.238749999999996E-2</v>
      </c>
      <c r="Q102" s="301"/>
      <c r="R102" s="312">
        <v>43138</v>
      </c>
      <c r="S102" s="321" t="s">
        <v>365</v>
      </c>
      <c r="T102" s="301"/>
    </row>
    <row r="103" spans="1:20" x14ac:dyDescent="0.25">
      <c r="A103" s="286">
        <v>8</v>
      </c>
      <c r="B103" s="301"/>
      <c r="C103" s="301"/>
      <c r="D103" s="297"/>
      <c r="E103" s="301"/>
      <c r="F103" s="301"/>
      <c r="G103" s="301"/>
      <c r="H103" s="301"/>
      <c r="I103" s="301"/>
      <c r="J103" s="301"/>
      <c r="K103" s="301"/>
      <c r="L103" s="301"/>
      <c r="M103" s="301"/>
      <c r="N103" s="301"/>
      <c r="O103" s="297"/>
      <c r="P103" s="297"/>
      <c r="Q103" s="301"/>
      <c r="R103" s="301"/>
      <c r="S103" s="322"/>
      <c r="T103" s="301"/>
    </row>
    <row r="104" spans="1:20" x14ac:dyDescent="0.25">
      <c r="A104" s="286">
        <v>7</v>
      </c>
      <c r="B104" s="309" t="str">
        <f>IF(INDEX(MO_SNA_IsHistoricalPeriod,,MATCH(F104,MO_Common_ColumnHeader,0)),"Historical","Forward")</f>
        <v>Historical</v>
      </c>
      <c r="C104" s="301"/>
      <c r="D104" s="317" t="str">
        <f ca="1">INDEX(INDIRECT(E104),0,COLUMN(MO_Common_Column_A))</f>
        <v>Model S and Model X Cars Delivered, units</v>
      </c>
      <c r="E104" s="310" t="s">
        <v>368</v>
      </c>
      <c r="F104" s="309" t="s">
        <v>371</v>
      </c>
      <c r="G104" s="301"/>
      <c r="H104" s="311">
        <v>100000</v>
      </c>
      <c r="I104" s="311">
        <v>100000</v>
      </c>
      <c r="J104" s="311">
        <f>AVERAGE(H104:I104)</f>
        <v>100000</v>
      </c>
      <c r="K104" s="301"/>
      <c r="L104" s="309" t="str">
        <f>IF(INDEX(MO_SNA_IsHistoricalPeriod,,MATCH(F104,MO_Common_ColumnHeader,0)),"Actual","Estimate")</f>
        <v>Actual</v>
      </c>
      <c r="M104" s="311" t="s">
        <v>372</v>
      </c>
      <c r="N104" s="301"/>
      <c r="O104" s="318" t="str">
        <f>IF(ISNUMBER(M104),M104-J104,"N/A")</f>
        <v>N/A</v>
      </c>
      <c r="P104" s="319" t="str">
        <f>IFERROR(IF(ISNUMBER(M104),(M104-J104)/ABS(J104),"N/A"),"N/A")</f>
        <v>N/A</v>
      </c>
      <c r="Q104" s="301"/>
      <c r="R104" s="312">
        <v>43138</v>
      </c>
      <c r="S104" s="321" t="s">
        <v>365</v>
      </c>
      <c r="T104" s="301"/>
    </row>
    <row r="105" spans="1:20" x14ac:dyDescent="0.25">
      <c r="A105" s="286">
        <v>6</v>
      </c>
      <c r="B105" s="309" t="str">
        <f>IF(INDEX(MO_SNA_IsHistoricalPeriod,,MATCH(F105,MO_Common_ColumnHeader,0)),"Historical","Forward")</f>
        <v>Historical</v>
      </c>
      <c r="C105" s="301"/>
      <c r="D105" s="317" t="str">
        <f ca="1">INDEX(INDIRECT(E105),0,COLUMN(MO_Common_Column_A))</f>
        <v>Y/Y Energy Generation and Storage Revenue Growth, %</v>
      </c>
      <c r="E105" s="310" t="s">
        <v>783</v>
      </c>
      <c r="F105" s="309" t="s">
        <v>371</v>
      </c>
      <c r="G105" s="301"/>
      <c r="H105" s="313">
        <v>2</v>
      </c>
      <c r="I105" s="313">
        <v>2</v>
      </c>
      <c r="J105" s="313">
        <f>AVERAGE(H105:I105)</f>
        <v>2</v>
      </c>
      <c r="K105" s="301"/>
      <c r="L105" s="309" t="str">
        <f>IF(INDEX(MO_SNA_IsHistoricalPeriod,,MATCH(F105,MO_Common_ColumnHeader,0)),"Actual","Estimate")</f>
        <v>Actual</v>
      </c>
      <c r="M105" s="313">
        <f ca="1">IFERROR(INDEX(INDIRECT(E105),0,MATCH(F105,MO_Common_ColumnHeader,0)),"N/A")</f>
        <v>0.39325572936916453</v>
      </c>
      <c r="N105" s="301"/>
      <c r="O105" s="319">
        <f ca="1">IF(ISNUMBER(M105),M105-J105,"N/A")</f>
        <v>-1.6067442706308355</v>
      </c>
      <c r="P105" s="319">
        <f ca="1">IFERROR(IF(ISNUMBER(M105),(M105-J105)/ABS(J105),"N/A"),"N/A")</f>
        <v>-0.80337213531541773</v>
      </c>
      <c r="Q105" s="301"/>
      <c r="R105" s="312">
        <v>43138</v>
      </c>
      <c r="S105" s="321" t="s">
        <v>365</v>
      </c>
      <c r="T105" s="301"/>
    </row>
    <row r="106" spans="1:20" x14ac:dyDescent="0.25">
      <c r="A106" s="286">
        <v>5</v>
      </c>
      <c r="B106" s="301"/>
      <c r="C106" s="301"/>
      <c r="D106" s="297"/>
      <c r="E106" s="298"/>
      <c r="F106" s="301"/>
      <c r="G106" s="301"/>
      <c r="H106" s="1030"/>
      <c r="I106" s="1030"/>
      <c r="J106" s="1030"/>
      <c r="K106" s="301"/>
      <c r="L106" s="301"/>
      <c r="M106" s="1030"/>
      <c r="N106" s="301"/>
      <c r="O106" s="303"/>
      <c r="P106" s="139"/>
      <c r="Q106" s="301"/>
      <c r="R106" s="302"/>
      <c r="S106" s="323"/>
      <c r="T106" s="301"/>
    </row>
    <row r="107" spans="1:20" x14ac:dyDescent="0.25">
      <c r="A107" s="286">
        <v>4</v>
      </c>
      <c r="B107" s="309" t="str">
        <f>IF(INDEX(MO_SNA_IsHistoricalPeriod,,MATCH(F107,MO_Common_ColumnHeader,0)),"Historical","Forward")</f>
        <v>Historical</v>
      </c>
      <c r="C107" s="301"/>
      <c r="D107" s="317" t="s">
        <v>378</v>
      </c>
      <c r="E107" s="310"/>
      <c r="F107" s="309" t="s">
        <v>379</v>
      </c>
      <c r="G107" s="301"/>
      <c r="H107" s="311">
        <v>65000</v>
      </c>
      <c r="I107" s="311">
        <v>65000</v>
      </c>
      <c r="J107" s="311">
        <f>AVERAGE(H107:I107)</f>
        <v>65000</v>
      </c>
      <c r="K107" s="301"/>
      <c r="L107" s="309" t="str">
        <f>IF(INDEX(MO_SNA_IsHistoricalPeriod,,MATCH(F107,MO_Common_ColumnHeader,0)),"Actual","Estimate")</f>
        <v>Actual</v>
      </c>
      <c r="M107" s="311" t="str">
        <f ca="1">IFERROR(INDEX(INDIRECT(E107),0,MATCH(F107,MO_Common_ColumnHeader,0)),"N/A")</f>
        <v>N/A</v>
      </c>
      <c r="N107" s="301"/>
      <c r="O107" s="318" t="str">
        <f ca="1">IF(ISNUMBER(M107),M107-J107,"N/A")</f>
        <v>N/A</v>
      </c>
      <c r="P107" s="319" t="str">
        <f ca="1">IFERROR(IF(ISNUMBER(M107),(M107-J107)/ABS(J107),"N/A"),"N/A")</f>
        <v>N/A</v>
      </c>
      <c r="Q107" s="301"/>
      <c r="R107" s="312">
        <v>43138</v>
      </c>
      <c r="S107" s="321" t="s">
        <v>365</v>
      </c>
      <c r="T107" s="301"/>
    </row>
    <row r="108" spans="1:20" x14ac:dyDescent="0.25">
      <c r="A108" s="286">
        <v>3</v>
      </c>
      <c r="B108" s="309" t="str">
        <f>IF(INDEX(MO_SNA_IsHistoricalPeriod,,MATCH(F108,MO_Common_ColumnHeader,0)),"Historical","Forward")</f>
        <v>Historical</v>
      </c>
      <c r="C108" s="301"/>
      <c r="D108" s="317" t="s">
        <v>373</v>
      </c>
      <c r="E108" s="310"/>
      <c r="F108" s="309" t="s">
        <v>379</v>
      </c>
      <c r="G108" s="301"/>
      <c r="H108" s="313">
        <v>0.25</v>
      </c>
      <c r="I108" s="313">
        <v>0.25</v>
      </c>
      <c r="J108" s="313">
        <f>AVERAGE(H108:I108)</f>
        <v>0.25</v>
      </c>
      <c r="K108" s="301"/>
      <c r="L108" s="309" t="str">
        <f>IF(INDEX(MO_SNA_IsHistoricalPeriod,,MATCH(F108,MO_Common_ColumnHeader,0)),"Actual","Estimate")</f>
        <v>Actual</v>
      </c>
      <c r="M108" s="313" t="str">
        <f ca="1">IFERROR(INDEX(INDIRECT(E108),0,MATCH(F108,MO_Common_ColumnHeader,0)),"N/A")</f>
        <v>N/A</v>
      </c>
      <c r="N108" s="301"/>
      <c r="O108" s="319" t="str">
        <f ca="1">IF(ISNUMBER(M108),M108-J108,"N/A")</f>
        <v>N/A</v>
      </c>
      <c r="P108" s="319" t="str">
        <f ca="1">IFERROR(IF(ISNUMBER(M108),(M108-J108)/ABS(J108),"N/A"),"N/A")</f>
        <v>N/A</v>
      </c>
      <c r="Q108" s="301"/>
      <c r="R108" s="312">
        <v>43138</v>
      </c>
      <c r="S108" s="321" t="s">
        <v>365</v>
      </c>
      <c r="T108" s="301"/>
    </row>
    <row r="109" spans="1:20" x14ac:dyDescent="0.25">
      <c r="A109" s="286">
        <v>2</v>
      </c>
      <c r="B109" s="301"/>
      <c r="C109" s="301"/>
      <c r="D109" s="297"/>
      <c r="E109" s="298"/>
      <c r="F109" s="301"/>
      <c r="G109" s="301"/>
      <c r="H109" s="1030"/>
      <c r="I109" s="1030"/>
      <c r="J109" s="1030"/>
      <c r="K109" s="301"/>
      <c r="L109" s="301"/>
      <c r="M109" s="1030"/>
      <c r="N109" s="301"/>
      <c r="O109" s="303"/>
      <c r="P109" s="139"/>
      <c r="Q109" s="301"/>
      <c r="R109" s="302"/>
      <c r="S109" s="323"/>
      <c r="T109" s="301"/>
    </row>
    <row r="110" spans="1:20" x14ac:dyDescent="0.25">
      <c r="A110" s="286">
        <v>1</v>
      </c>
      <c r="B110" s="309" t="str">
        <f>IF(INDEX(MO_SNA_IsHistoricalPeriod,,MATCH(F110,MO_Common_ColumnHeader,0)),"Historical","Forward")</f>
        <v>Historical</v>
      </c>
      <c r="C110" s="301"/>
      <c r="D110" s="317" t="s">
        <v>378</v>
      </c>
      <c r="E110" s="310"/>
      <c r="F110" s="309" t="s">
        <v>380</v>
      </c>
      <c r="G110" s="301"/>
      <c r="H110" s="311">
        <v>32500</v>
      </c>
      <c r="I110" s="311">
        <v>32500</v>
      </c>
      <c r="J110" s="311">
        <f>AVERAGE(H110:I110)</f>
        <v>32500</v>
      </c>
      <c r="K110" s="301"/>
      <c r="L110" s="309" t="str">
        <f>IF(INDEX(MO_SNA_IsHistoricalPeriod,,MATCH(F110,MO_Common_ColumnHeader,0)),"Actual","Estimate")</f>
        <v>Actual</v>
      </c>
      <c r="M110" s="311" t="str">
        <f ca="1">IFERROR(INDEX(INDIRECT(E110),0,MATCH(F110,MO_Common_ColumnHeader,0)),"N/A")</f>
        <v>N/A</v>
      </c>
      <c r="N110" s="301"/>
      <c r="O110" s="318" t="str">
        <f ca="1">IF(ISNUMBER(M110),M110-J110,"N/A")</f>
        <v>N/A</v>
      </c>
      <c r="P110" s="319" t="str">
        <f ca="1">IFERROR(IF(ISNUMBER(M110),(M110-J110)/ABS(J110),"N/A"),"N/A")</f>
        <v>N/A</v>
      </c>
      <c r="Q110" s="301"/>
      <c r="R110" s="312">
        <v>43138</v>
      </c>
      <c r="S110" s="321" t="s">
        <v>365</v>
      </c>
      <c r="T110" s="301"/>
    </row>
    <row r="111" spans="1:20" x14ac:dyDescent="0.25">
      <c r="A111" s="286">
        <v>0</v>
      </c>
      <c r="B111" s="301"/>
      <c r="C111" s="301"/>
      <c r="D111" s="301"/>
      <c r="E111" s="298"/>
      <c r="F111" s="301"/>
      <c r="G111" s="301"/>
      <c r="H111" s="301"/>
      <c r="I111" s="301"/>
      <c r="J111" s="301"/>
      <c r="K111" s="301"/>
      <c r="L111" s="301"/>
      <c r="M111" s="301"/>
      <c r="N111" s="301"/>
      <c r="O111" s="301"/>
      <c r="P111" s="299"/>
      <c r="Q111" s="301"/>
      <c r="R111" s="300"/>
      <c r="S111" s="301"/>
      <c r="T111" s="301"/>
    </row>
    <row r="112" spans="1:20" x14ac:dyDescent="0.25">
      <c r="A112" s="270"/>
      <c r="B112" s="84"/>
      <c r="C112" s="84"/>
      <c r="D112" s="271"/>
      <c r="E112" s="272"/>
      <c r="F112" s="84"/>
      <c r="G112" s="84"/>
      <c r="H112" s="84"/>
      <c r="I112" s="84"/>
      <c r="J112" s="84"/>
      <c r="K112" s="84"/>
      <c r="L112" s="84"/>
      <c r="M112" s="271"/>
      <c r="N112" s="84"/>
      <c r="O112" s="84"/>
      <c r="P112" s="72"/>
      <c r="Q112" s="84"/>
      <c r="R112" s="273"/>
      <c r="S112" s="279"/>
      <c r="T112" s="277"/>
    </row>
  </sheetData>
  <autoFilter ref="A5:T5" xr:uid="{00000000-0009-0000-0000-000003000000}"/>
  <sortState xmlns:xlrd2="http://schemas.microsoft.com/office/spreadsheetml/2017/richdata2" ref="A66:T111">
    <sortCondition descending="1" ref="A66:A111"/>
  </sortState>
  <conditionalFormatting sqref="P1:P3 P98 P92 P111:P112 P96 P89:P90 P5 P81">
    <cfRule type="colorScale" priority="63">
      <colorScale>
        <cfvo type="num" val="-0.1"/>
        <cfvo type="num" val="0"/>
        <cfvo type="num" val="0.1"/>
        <color rgb="FFF8696B"/>
        <color rgb="FFFFEB84"/>
        <color rgb="FF63BE7B"/>
      </colorScale>
    </cfRule>
  </conditionalFormatting>
  <conditionalFormatting sqref="P97">
    <cfRule type="colorScale" priority="60">
      <colorScale>
        <cfvo type="num" val="-0.1"/>
        <cfvo type="num" val="0"/>
        <cfvo type="num" val="0.1"/>
        <color rgb="FFF8696B"/>
        <color rgb="FFFFEB84"/>
        <color rgb="FF63BE7B"/>
      </colorScale>
    </cfRule>
  </conditionalFormatting>
  <conditionalFormatting sqref="P107:P108 P102 P99:P100 P104:P105">
    <cfRule type="colorScale" priority="55">
      <colorScale>
        <cfvo type="num" val="-0.1"/>
        <cfvo type="num" val="0"/>
        <cfvo type="num" val="0.1"/>
        <color rgb="FFF8696B"/>
        <color rgb="FFFFEB84"/>
        <color rgb="FF63BE7B"/>
      </colorScale>
    </cfRule>
  </conditionalFormatting>
  <conditionalFormatting sqref="P110">
    <cfRule type="colorScale" priority="54">
      <colorScale>
        <cfvo type="num" val="-0.1"/>
        <cfvo type="num" val="0"/>
        <cfvo type="num" val="0.1"/>
        <color rgb="FFF8696B"/>
        <color rgb="FFFFEB84"/>
        <color rgb="FF63BE7B"/>
      </colorScale>
    </cfRule>
  </conditionalFormatting>
  <conditionalFormatting sqref="P106">
    <cfRule type="colorScale" priority="53">
      <colorScale>
        <cfvo type="num" val="-0.1"/>
        <cfvo type="num" val="0"/>
        <cfvo type="num" val="0.1"/>
        <color rgb="FFF8696B"/>
        <color rgb="FFFFEB84"/>
        <color rgb="FF63BE7B"/>
      </colorScale>
    </cfRule>
  </conditionalFormatting>
  <conditionalFormatting sqref="P109">
    <cfRule type="colorScale" priority="52">
      <colorScale>
        <cfvo type="num" val="-0.1"/>
        <cfvo type="num" val="0"/>
        <cfvo type="num" val="0.1"/>
        <color rgb="FFF8696B"/>
        <color rgb="FFFFEB84"/>
        <color rgb="FF63BE7B"/>
      </colorScale>
    </cfRule>
  </conditionalFormatting>
  <conditionalFormatting sqref="P93">
    <cfRule type="colorScale" priority="51">
      <colorScale>
        <cfvo type="num" val="-0.1"/>
        <cfvo type="num" val="0"/>
        <cfvo type="num" val="0.1"/>
        <color rgb="FFF8696B"/>
        <color rgb="FFFFEB84"/>
        <color rgb="FF63BE7B"/>
      </colorScale>
    </cfRule>
  </conditionalFormatting>
  <conditionalFormatting sqref="P95">
    <cfRule type="colorScale" priority="50">
      <colorScale>
        <cfvo type="num" val="-0.1"/>
        <cfvo type="num" val="0"/>
        <cfvo type="num" val="0.1"/>
        <color rgb="FFF8696B"/>
        <color rgb="FFFFEB84"/>
        <color rgb="FF63BE7B"/>
      </colorScale>
    </cfRule>
  </conditionalFormatting>
  <conditionalFormatting sqref="P94">
    <cfRule type="colorScale" priority="49">
      <colorScale>
        <cfvo type="num" val="-0.1"/>
        <cfvo type="num" val="0"/>
        <cfvo type="num" val="0.1"/>
        <color rgb="FFF8696B"/>
        <color rgb="FFFFEB84"/>
        <color rgb="FF63BE7B"/>
      </colorScale>
    </cfRule>
  </conditionalFormatting>
  <conditionalFormatting sqref="P86:P87">
    <cfRule type="colorScale" priority="48">
      <colorScale>
        <cfvo type="num" val="-0.1"/>
        <cfvo type="num" val="0"/>
        <cfvo type="num" val="0.1"/>
        <color rgb="FFF8696B"/>
        <color rgb="FFFFEB84"/>
        <color rgb="FF63BE7B"/>
      </colorScale>
    </cfRule>
  </conditionalFormatting>
  <conditionalFormatting sqref="P84">
    <cfRule type="colorScale" priority="46">
      <colorScale>
        <cfvo type="num" val="-0.1"/>
        <cfvo type="num" val="0"/>
        <cfvo type="num" val="0.1"/>
        <color rgb="FFF8696B"/>
        <color rgb="FFFFEB84"/>
        <color rgb="FF63BE7B"/>
      </colorScale>
    </cfRule>
  </conditionalFormatting>
  <conditionalFormatting sqref="P82">
    <cfRule type="colorScale" priority="43">
      <colorScale>
        <cfvo type="num" val="-0.1"/>
        <cfvo type="num" val="0"/>
        <cfvo type="num" val="0.1"/>
        <color rgb="FFF8696B"/>
        <color rgb="FFFFEB84"/>
        <color rgb="FF63BE7B"/>
      </colorScale>
    </cfRule>
  </conditionalFormatting>
  <conditionalFormatting sqref="P75">
    <cfRule type="colorScale" priority="42">
      <colorScale>
        <cfvo type="num" val="-0.1"/>
        <cfvo type="num" val="0"/>
        <cfvo type="num" val="0.1"/>
        <color rgb="FFF8696B"/>
        <color rgb="FFFFEB84"/>
        <color rgb="FF63BE7B"/>
      </colorScale>
    </cfRule>
  </conditionalFormatting>
  <conditionalFormatting sqref="P79">
    <cfRule type="colorScale" priority="41">
      <colorScale>
        <cfvo type="num" val="-0.1"/>
        <cfvo type="num" val="0"/>
        <cfvo type="num" val="0.1"/>
        <color rgb="FFF8696B"/>
        <color rgb="FFFFEB84"/>
        <color rgb="FF63BE7B"/>
      </colorScale>
    </cfRule>
  </conditionalFormatting>
  <conditionalFormatting sqref="P76">
    <cfRule type="colorScale" priority="40">
      <colorScale>
        <cfvo type="num" val="-0.1"/>
        <cfvo type="num" val="0"/>
        <cfvo type="num" val="0.1"/>
        <color rgb="FFF8696B"/>
        <color rgb="FFFFEB84"/>
        <color rgb="FF63BE7B"/>
      </colorScale>
    </cfRule>
  </conditionalFormatting>
  <conditionalFormatting sqref="P77">
    <cfRule type="colorScale" priority="39">
      <colorScale>
        <cfvo type="num" val="-0.1"/>
        <cfvo type="num" val="0"/>
        <cfvo type="num" val="0.1"/>
        <color rgb="FFF8696B"/>
        <color rgb="FFFFEB84"/>
        <color rgb="FF63BE7B"/>
      </colorScale>
    </cfRule>
  </conditionalFormatting>
  <conditionalFormatting sqref="P69">
    <cfRule type="colorScale" priority="38">
      <colorScale>
        <cfvo type="num" val="-0.1"/>
        <cfvo type="num" val="0"/>
        <cfvo type="num" val="0.1"/>
        <color rgb="FFF8696B"/>
        <color rgb="FFFFEB84"/>
        <color rgb="FF63BE7B"/>
      </colorScale>
    </cfRule>
  </conditionalFormatting>
  <conditionalFormatting sqref="P70">
    <cfRule type="colorScale" priority="37">
      <colorScale>
        <cfvo type="num" val="-0.1"/>
        <cfvo type="num" val="0"/>
        <cfvo type="num" val="0.1"/>
        <color rgb="FFF8696B"/>
        <color rgb="FFFFEB84"/>
        <color rgb="FF63BE7B"/>
      </colorScale>
    </cfRule>
  </conditionalFormatting>
  <conditionalFormatting sqref="P73">
    <cfRule type="colorScale" priority="36">
      <colorScale>
        <cfvo type="num" val="-0.1"/>
        <cfvo type="num" val="0"/>
        <cfvo type="num" val="0.1"/>
        <color rgb="FFF8696B"/>
        <color rgb="FFFFEB84"/>
        <color rgb="FF63BE7B"/>
      </colorScale>
    </cfRule>
  </conditionalFormatting>
  <conditionalFormatting sqref="P71">
    <cfRule type="colorScale" priority="35">
      <colorScale>
        <cfvo type="num" val="-0.1"/>
        <cfvo type="num" val="0"/>
        <cfvo type="num" val="0.1"/>
        <color rgb="FFF8696B"/>
        <color rgb="FFFFEB84"/>
        <color rgb="FF63BE7B"/>
      </colorScale>
    </cfRule>
  </conditionalFormatting>
  <conditionalFormatting sqref="P66">
    <cfRule type="colorScale" priority="33">
      <colorScale>
        <cfvo type="num" val="-0.1"/>
        <cfvo type="num" val="0"/>
        <cfvo type="num" val="0.1"/>
        <color rgb="FFF8696B"/>
        <color rgb="FFFFEB84"/>
        <color rgb="FF63BE7B"/>
      </colorScale>
    </cfRule>
  </conditionalFormatting>
  <conditionalFormatting sqref="P67">
    <cfRule type="colorScale" priority="32">
      <colorScale>
        <cfvo type="num" val="-0.1"/>
        <cfvo type="num" val="0"/>
        <cfvo type="num" val="0.1"/>
        <color rgb="FFF8696B"/>
        <color rgb="FFFFEB84"/>
        <color rgb="FF63BE7B"/>
      </colorScale>
    </cfRule>
  </conditionalFormatting>
  <conditionalFormatting sqref="P64">
    <cfRule type="colorScale" priority="31">
      <colorScale>
        <cfvo type="num" val="-0.1"/>
        <cfvo type="num" val="0"/>
        <cfvo type="num" val="0.1"/>
        <color rgb="FFF8696B"/>
        <color rgb="FFFFEB84"/>
        <color rgb="FF63BE7B"/>
      </colorScale>
    </cfRule>
  </conditionalFormatting>
  <conditionalFormatting sqref="P58">
    <cfRule type="colorScale" priority="30">
      <colorScale>
        <cfvo type="num" val="-0.1"/>
        <cfvo type="num" val="0"/>
        <cfvo type="num" val="0.1"/>
        <color rgb="FFF8696B"/>
        <color rgb="FFFFEB84"/>
        <color rgb="FF63BE7B"/>
      </colorScale>
    </cfRule>
  </conditionalFormatting>
  <conditionalFormatting sqref="P62">
    <cfRule type="colorScale" priority="29">
      <colorScale>
        <cfvo type="num" val="-0.1"/>
        <cfvo type="num" val="0"/>
        <cfvo type="num" val="0.1"/>
        <color rgb="FFF8696B"/>
        <color rgb="FFFFEB84"/>
        <color rgb="FF63BE7B"/>
      </colorScale>
    </cfRule>
  </conditionalFormatting>
  <conditionalFormatting sqref="P60">
    <cfRule type="colorScale" priority="28">
      <colorScale>
        <cfvo type="num" val="-0.1"/>
        <cfvo type="num" val="0"/>
        <cfvo type="num" val="0.1"/>
        <color rgb="FFF8696B"/>
        <color rgb="FFFFEB84"/>
        <color rgb="FF63BE7B"/>
      </colorScale>
    </cfRule>
  </conditionalFormatting>
  <conditionalFormatting sqref="P56">
    <cfRule type="colorScale" priority="27">
      <colorScale>
        <cfvo type="num" val="-0.1"/>
        <cfvo type="num" val="0"/>
        <cfvo type="num" val="0.1"/>
        <color rgb="FFF8696B"/>
        <color rgb="FFFFEB84"/>
        <color rgb="FF63BE7B"/>
      </colorScale>
    </cfRule>
  </conditionalFormatting>
  <conditionalFormatting sqref="P54">
    <cfRule type="colorScale" priority="26">
      <colorScale>
        <cfvo type="num" val="-0.1"/>
        <cfvo type="num" val="0"/>
        <cfvo type="num" val="0.1"/>
        <color rgb="FFF8696B"/>
        <color rgb="FFFFEB84"/>
        <color rgb="FF63BE7B"/>
      </colorScale>
    </cfRule>
  </conditionalFormatting>
  <conditionalFormatting sqref="P52">
    <cfRule type="colorScale" priority="25">
      <colorScale>
        <cfvo type="num" val="-0.1"/>
        <cfvo type="num" val="0"/>
        <cfvo type="num" val="0.1"/>
        <color rgb="FFF8696B"/>
        <color rgb="FFFFEB84"/>
        <color rgb="FF63BE7B"/>
      </colorScale>
    </cfRule>
  </conditionalFormatting>
  <conditionalFormatting sqref="P50">
    <cfRule type="colorScale" priority="24">
      <colorScale>
        <cfvo type="num" val="-0.1"/>
        <cfvo type="num" val="0"/>
        <cfvo type="num" val="0.1"/>
        <color rgb="FFF8696B"/>
        <color rgb="FFFFEB84"/>
        <color rgb="FF63BE7B"/>
      </colorScale>
    </cfRule>
  </conditionalFormatting>
  <conditionalFormatting sqref="P48">
    <cfRule type="colorScale" priority="23">
      <colorScale>
        <cfvo type="num" val="-0.1"/>
        <cfvo type="num" val="0"/>
        <cfvo type="num" val="0.1"/>
        <color rgb="FFF8696B"/>
        <color rgb="FFFFEB84"/>
        <color rgb="FF63BE7B"/>
      </colorScale>
    </cfRule>
  </conditionalFormatting>
  <conditionalFormatting sqref="P46">
    <cfRule type="colorScale" priority="22">
      <colorScale>
        <cfvo type="num" val="-0.1"/>
        <cfvo type="num" val="0"/>
        <cfvo type="num" val="0.1"/>
        <color rgb="FFF8696B"/>
        <color rgb="FFFFEB84"/>
        <color rgb="FF63BE7B"/>
      </colorScale>
    </cfRule>
  </conditionalFormatting>
  <conditionalFormatting sqref="P44">
    <cfRule type="colorScale" priority="21">
      <colorScale>
        <cfvo type="num" val="-0.1"/>
        <cfvo type="num" val="0"/>
        <cfvo type="num" val="0.1"/>
        <color rgb="FFF8696B"/>
        <color rgb="FFFFEB84"/>
        <color rgb="FF63BE7B"/>
      </colorScale>
    </cfRule>
  </conditionalFormatting>
  <conditionalFormatting sqref="P42">
    <cfRule type="colorScale" priority="20">
      <colorScale>
        <cfvo type="num" val="-0.1"/>
        <cfvo type="num" val="0"/>
        <cfvo type="num" val="0.1"/>
        <color rgb="FFF8696B"/>
        <color rgb="FFFFEB84"/>
        <color rgb="FF63BE7B"/>
      </colorScale>
    </cfRule>
  </conditionalFormatting>
  <conditionalFormatting sqref="P40">
    <cfRule type="colorScale" priority="19">
      <colorScale>
        <cfvo type="num" val="-0.1"/>
        <cfvo type="num" val="0"/>
        <cfvo type="num" val="0.1"/>
        <color rgb="FFF8696B"/>
        <color rgb="FFFFEB84"/>
        <color rgb="FF63BE7B"/>
      </colorScale>
    </cfRule>
  </conditionalFormatting>
  <conditionalFormatting sqref="P38">
    <cfRule type="colorScale" priority="18">
      <colorScale>
        <cfvo type="num" val="-0.1"/>
        <cfvo type="num" val="0"/>
        <cfvo type="num" val="0.1"/>
        <color rgb="FFF8696B"/>
        <color rgb="FFFFEB84"/>
        <color rgb="FF63BE7B"/>
      </colorScale>
    </cfRule>
  </conditionalFormatting>
  <conditionalFormatting sqref="P36">
    <cfRule type="colorScale" priority="17">
      <colorScale>
        <cfvo type="num" val="-0.1"/>
        <cfvo type="num" val="0"/>
        <cfvo type="num" val="0.1"/>
        <color rgb="FFF8696B"/>
        <color rgb="FFFFEB84"/>
        <color rgb="FF63BE7B"/>
      </colorScale>
    </cfRule>
  </conditionalFormatting>
  <conditionalFormatting sqref="P34">
    <cfRule type="colorScale" priority="16">
      <colorScale>
        <cfvo type="num" val="-0.1"/>
        <cfvo type="num" val="0"/>
        <cfvo type="num" val="0.1"/>
        <color rgb="FFF8696B"/>
        <color rgb="FFFFEB84"/>
        <color rgb="FF63BE7B"/>
      </colorScale>
    </cfRule>
  </conditionalFormatting>
  <conditionalFormatting sqref="P32">
    <cfRule type="colorScale" priority="15">
      <colorScale>
        <cfvo type="num" val="-0.1"/>
        <cfvo type="num" val="0"/>
        <cfvo type="num" val="0.1"/>
        <color rgb="FFF8696B"/>
        <color rgb="FFFFEB84"/>
        <color rgb="FF63BE7B"/>
      </colorScale>
    </cfRule>
  </conditionalFormatting>
  <conditionalFormatting sqref="P30">
    <cfRule type="colorScale" priority="14">
      <colorScale>
        <cfvo type="num" val="-0.1"/>
        <cfvo type="num" val="0"/>
        <cfvo type="num" val="0.1"/>
        <color rgb="FFF8696B"/>
        <color rgb="FFFFEB84"/>
        <color rgb="FF63BE7B"/>
      </colorScale>
    </cfRule>
  </conditionalFormatting>
  <conditionalFormatting sqref="P28">
    <cfRule type="colorScale" priority="13">
      <colorScale>
        <cfvo type="num" val="-0.1"/>
        <cfvo type="num" val="0"/>
        <cfvo type="num" val="0.1"/>
        <color rgb="FFF8696B"/>
        <color rgb="FFFFEB84"/>
        <color rgb="FF63BE7B"/>
      </colorScale>
    </cfRule>
  </conditionalFormatting>
  <conditionalFormatting sqref="P26">
    <cfRule type="colorScale" priority="11">
      <colorScale>
        <cfvo type="num" val="-0.1"/>
        <cfvo type="num" val="0"/>
        <cfvo type="num" val="0.1"/>
        <color rgb="FFF8696B"/>
        <color rgb="FFFFEB84"/>
        <color rgb="FF63BE7B"/>
      </colorScale>
    </cfRule>
  </conditionalFormatting>
  <conditionalFormatting sqref="P24">
    <cfRule type="colorScale" priority="10">
      <colorScale>
        <cfvo type="num" val="-0.1"/>
        <cfvo type="num" val="0"/>
        <cfvo type="num" val="0.1"/>
        <color rgb="FFF8696B"/>
        <color rgb="FFFFEB84"/>
        <color rgb="FF63BE7B"/>
      </colorScale>
    </cfRule>
  </conditionalFormatting>
  <conditionalFormatting sqref="P22">
    <cfRule type="colorScale" priority="9">
      <colorScale>
        <cfvo type="num" val="-0.1"/>
        <cfvo type="num" val="0"/>
        <cfvo type="num" val="0.1"/>
        <color rgb="FFF8696B"/>
        <color rgb="FFFFEB84"/>
        <color rgb="FF63BE7B"/>
      </colorScale>
    </cfRule>
  </conditionalFormatting>
  <conditionalFormatting sqref="P20">
    <cfRule type="colorScale" priority="8">
      <colorScale>
        <cfvo type="num" val="-0.1"/>
        <cfvo type="num" val="0"/>
        <cfvo type="num" val="0.1"/>
        <color rgb="FFF8696B"/>
        <color rgb="FFFFEB84"/>
        <color rgb="FF63BE7B"/>
      </colorScale>
    </cfRule>
  </conditionalFormatting>
  <conditionalFormatting sqref="P18">
    <cfRule type="colorScale" priority="7">
      <colorScale>
        <cfvo type="num" val="-0.1"/>
        <cfvo type="num" val="0"/>
        <cfvo type="num" val="0.1"/>
        <color rgb="FFF8696B"/>
        <color rgb="FFFFEB84"/>
        <color rgb="FF63BE7B"/>
      </colorScale>
    </cfRule>
  </conditionalFormatting>
  <conditionalFormatting sqref="P16">
    <cfRule type="colorScale" priority="6">
      <colorScale>
        <cfvo type="num" val="-0.1"/>
        <cfvo type="num" val="0"/>
        <cfvo type="num" val="0.1"/>
        <color rgb="FFF8696B"/>
        <color rgb="FFFFEB84"/>
        <color rgb="FF63BE7B"/>
      </colorScale>
    </cfRule>
  </conditionalFormatting>
  <conditionalFormatting sqref="P14">
    <cfRule type="colorScale" priority="5">
      <colorScale>
        <cfvo type="num" val="-0.1"/>
        <cfvo type="num" val="0"/>
        <cfvo type="num" val="0.1"/>
        <color rgb="FFF8696B"/>
        <color rgb="FFFFEB84"/>
        <color rgb="FF63BE7B"/>
      </colorScale>
    </cfRule>
  </conditionalFormatting>
  <conditionalFormatting sqref="P12">
    <cfRule type="colorScale" priority="4">
      <colorScale>
        <cfvo type="num" val="-0.1"/>
        <cfvo type="num" val="0"/>
        <cfvo type="num" val="0.1"/>
        <color rgb="FFF8696B"/>
        <color rgb="FFFFEB84"/>
        <color rgb="FF63BE7B"/>
      </colorScale>
    </cfRule>
  </conditionalFormatting>
  <conditionalFormatting sqref="P10">
    <cfRule type="colorScale" priority="3">
      <colorScale>
        <cfvo type="num" val="-0.1"/>
        <cfvo type="num" val="0"/>
        <cfvo type="num" val="0.1"/>
        <color rgb="FFF8696B"/>
        <color rgb="FFFFEB84"/>
        <color rgb="FF63BE7B"/>
      </colorScale>
    </cfRule>
  </conditionalFormatting>
  <conditionalFormatting sqref="P8">
    <cfRule type="colorScale" priority="2">
      <colorScale>
        <cfvo type="num" val="-0.1"/>
        <cfvo type="num" val="0"/>
        <cfvo type="num" val="0.1"/>
        <color rgb="FFF8696B"/>
        <color rgb="FFFFEB84"/>
        <color rgb="FF63BE7B"/>
      </colorScale>
    </cfRule>
  </conditionalFormatting>
  <conditionalFormatting sqref="P6">
    <cfRule type="colorScale" priority="1">
      <colorScale>
        <cfvo type="num" val="-0.1"/>
        <cfvo type="num" val="0"/>
        <cfvo type="num" val="0.1"/>
        <color rgb="FFF8696B"/>
        <color rgb="FFFFEB84"/>
        <color rgb="FF63BE7B"/>
      </colorScale>
    </cfRule>
  </conditionalFormatting>
  <hyperlinks>
    <hyperlink ref="S75" r:id="rId1" xr:uid="{00000000-0004-0000-0300-000000000000}"/>
    <hyperlink ref="S81" r:id="rId2" xr:uid="{00000000-0004-0000-0300-000001000000}"/>
    <hyperlink ref="S82" r:id="rId3" xr:uid="{00000000-0004-0000-0300-000002000000}"/>
    <hyperlink ref="S84" r:id="rId4" xr:uid="{00000000-0004-0000-0300-000003000000}"/>
    <hyperlink ref="S86" r:id="rId5" xr:uid="{00000000-0004-0000-0300-000004000000}"/>
    <hyperlink ref="S87" r:id="rId6" xr:uid="{00000000-0004-0000-0300-000005000000}"/>
    <hyperlink ref="S89" r:id="rId7" xr:uid="{00000000-0004-0000-0300-000006000000}"/>
    <hyperlink ref="S90" r:id="rId8" xr:uid="{00000000-0004-0000-0300-000007000000}"/>
    <hyperlink ref="S92" r:id="rId9" xr:uid="{00000000-0004-0000-0300-000008000000}"/>
    <hyperlink ref="S94" r:id="rId10" xr:uid="{00000000-0004-0000-0300-000009000000}"/>
    <hyperlink ref="S95" r:id="rId11" xr:uid="{00000000-0004-0000-0300-00000A000000}"/>
    <hyperlink ref="S99" r:id="rId12" xr:uid="{00000000-0004-0000-0300-00000B000000}"/>
    <hyperlink ref="S100" r:id="rId13" xr:uid="{00000000-0004-0000-0300-00000C000000}"/>
    <hyperlink ref="S102" r:id="rId14" xr:uid="{00000000-0004-0000-0300-00000D000000}"/>
    <hyperlink ref="S104" r:id="rId15" xr:uid="{00000000-0004-0000-0300-00000E000000}"/>
    <hyperlink ref="S105" r:id="rId16" xr:uid="{00000000-0004-0000-0300-00000F000000}"/>
    <hyperlink ref="S107" r:id="rId17" xr:uid="{00000000-0004-0000-0300-000010000000}"/>
    <hyperlink ref="S108" r:id="rId18" xr:uid="{00000000-0004-0000-0300-000011000000}"/>
    <hyperlink ref="S110" r:id="rId19" xr:uid="{00000000-0004-0000-0300-000012000000}"/>
    <hyperlink ref="S96" r:id="rId20" xr:uid="{00000000-0004-0000-0300-000013000000}"/>
    <hyperlink ref="S97" r:id="rId21" xr:uid="{00000000-0004-0000-0300-000014000000}"/>
    <hyperlink ref="S76" r:id="rId22" xr:uid="{00000000-0004-0000-0300-000015000000}"/>
    <hyperlink ref="S77" r:id="rId23" xr:uid="{00000000-0004-0000-0300-000016000000}"/>
    <hyperlink ref="S79" r:id="rId24" xr:uid="{00000000-0004-0000-0300-000017000000}"/>
    <hyperlink ref="S69" r:id="rId25" xr:uid="{00000000-0004-0000-0300-000018000000}"/>
    <hyperlink ref="S70:S71" r:id="rId26" display="Press Release" xr:uid="{00000000-0004-0000-0300-000019000000}"/>
    <hyperlink ref="S73" r:id="rId27" xr:uid="{00000000-0004-0000-0300-00001A000000}"/>
    <hyperlink ref="S66" r:id="rId28" xr:uid="{00000000-0004-0000-0300-00001B000000}"/>
    <hyperlink ref="S67" r:id="rId29" xr:uid="{00000000-0004-0000-0300-00001C000000}"/>
    <hyperlink ref="S64" r:id="rId30" xr:uid="{00000000-0004-0000-0300-00001D000000}"/>
    <hyperlink ref="S58" r:id="rId31" xr:uid="{00000000-0004-0000-0300-00001E000000}"/>
    <hyperlink ref="S62" r:id="rId32" xr:uid="{00000000-0004-0000-0300-00001F000000}"/>
    <hyperlink ref="S60" r:id="rId33" xr:uid="{00000000-0004-0000-0300-000020000000}"/>
    <hyperlink ref="S56" r:id="rId34" xr:uid="{00000000-0004-0000-0300-000021000000}"/>
    <hyperlink ref="S54" r:id="rId35" xr:uid="{00000000-0004-0000-0300-000022000000}"/>
    <hyperlink ref="S52" r:id="rId36" xr:uid="{00000000-0004-0000-0300-000023000000}"/>
    <hyperlink ref="S50" r:id="rId37" xr:uid="{00000000-0004-0000-0300-000024000000}"/>
    <hyperlink ref="S44" r:id="rId38" xr:uid="{00000000-0004-0000-0300-000025000000}"/>
    <hyperlink ref="S46" r:id="rId39" xr:uid="{00000000-0004-0000-0300-000026000000}"/>
    <hyperlink ref="S48" r:id="rId40" xr:uid="{00000000-0004-0000-0300-000027000000}"/>
    <hyperlink ref="S42" r:id="rId41" xr:uid="{00000000-0004-0000-0300-000028000000}"/>
    <hyperlink ref="S40" r:id="rId42" xr:uid="{00000000-0004-0000-0300-000029000000}"/>
    <hyperlink ref="S38" r:id="rId43" xr:uid="{00000000-0004-0000-0300-00002A000000}"/>
    <hyperlink ref="S36" r:id="rId44" xr:uid="{00000000-0004-0000-0300-00002B000000}"/>
    <hyperlink ref="S32" r:id="rId45" xr:uid="{00000000-0004-0000-0300-00002C000000}"/>
    <hyperlink ref="S34" r:id="rId46" xr:uid="{00000000-0004-0000-0300-00002D000000}"/>
    <hyperlink ref="S30" r:id="rId47" xr:uid="{00000000-0004-0000-0300-00002E000000}"/>
    <hyperlink ref="S28" r:id="rId48" xr:uid="{00000000-0004-0000-0300-00002F000000}"/>
    <hyperlink ref="S26" r:id="rId49" xr:uid="{00000000-0004-0000-0300-000030000000}"/>
    <hyperlink ref="S24" r:id="rId50" xr:uid="{00000000-0004-0000-0300-000031000000}"/>
    <hyperlink ref="S22" r:id="rId51" xr:uid="{00000000-0004-0000-0300-000032000000}"/>
    <hyperlink ref="S20" r:id="rId52" xr:uid="{00000000-0004-0000-0300-000033000000}"/>
    <hyperlink ref="S18" r:id="rId53" xr:uid="{00000000-0004-0000-0300-000034000000}"/>
    <hyperlink ref="S14" r:id="rId54" xr:uid="{00000000-0004-0000-0300-000035000000}"/>
    <hyperlink ref="S16" r:id="rId55" xr:uid="{00000000-0004-0000-0300-000036000000}"/>
    <hyperlink ref="S12" r:id="rId56" xr:uid="{00000000-0004-0000-0300-000037000000}"/>
    <hyperlink ref="S6" r:id="rId57" xr:uid="{00000000-0004-0000-0300-000038000000}"/>
    <hyperlink ref="S10" r:id="rId58" xr:uid="{00000000-0004-0000-0300-000039000000}"/>
    <hyperlink ref="S8" r:id="rId59" xr:uid="{00000000-0004-0000-0300-00003A000000}"/>
  </hyperlinks>
  <pageMargins left="0.7" right="0.7" top="0.75" bottom="0.75" header="0.3" footer="0.3"/>
  <pageSetup orientation="portrait"/>
  <legacyDrawing r:id="rId6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BH134"/>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ColWidth="9.140625" defaultRowHeight="15" outlineLevelRow="1" outlineLevelCol="1" x14ac:dyDescent="0.25"/>
  <cols>
    <col min="1" max="1" width="50.7109375" style="73" customWidth="1"/>
    <col min="2" max="2" width="9.7109375" style="73" customWidth="1"/>
    <col min="3" max="6" width="10.42578125" style="73" customWidth="1"/>
    <col min="7" max="10" width="10.42578125" style="73" hidden="1" customWidth="1" outlineLevel="1"/>
    <col min="11" max="11" width="10.42578125" style="73" customWidth="1" collapsed="1"/>
    <col min="12" max="15" width="10.42578125" style="73" hidden="1" customWidth="1" outlineLevel="1"/>
    <col min="16" max="16" width="10.42578125" style="73" customWidth="1" collapsed="1"/>
    <col min="17" max="20" width="10.42578125" style="73" hidden="1" customWidth="1" outlineLevel="1"/>
    <col min="21" max="21" width="10.42578125" style="73" customWidth="1" collapsed="1"/>
    <col min="22" max="25" width="10.42578125" style="73" hidden="1" customWidth="1" outlineLevel="1"/>
    <col min="26" max="26" width="10.42578125" style="73" customWidth="1" collapsed="1"/>
    <col min="27" max="30" width="10.42578125" style="73" hidden="1" customWidth="1" outlineLevel="1"/>
    <col min="31" max="31" width="10.42578125" style="73" customWidth="1" collapsed="1"/>
    <col min="32" max="35" width="10.42578125" style="73" hidden="1" customWidth="1" outlineLevel="1"/>
    <col min="36" max="36" width="10.42578125" style="73" customWidth="1" collapsed="1"/>
    <col min="37" max="40" width="10.42578125" style="73" hidden="1" customWidth="1" outlineLevel="1"/>
    <col min="41" max="41" width="10.42578125" style="73" customWidth="1" collapsed="1"/>
    <col min="42" max="45" width="10.42578125" style="73" hidden="1" customWidth="1" outlineLevel="1"/>
    <col min="46" max="46" width="10.42578125" style="73" customWidth="1" collapsed="1"/>
    <col min="47" max="50" width="10.42578125" style="73" customWidth="1" outlineLevel="1"/>
    <col min="51" max="51" width="10.42578125" style="73" customWidth="1"/>
    <col min="52" max="55" width="10.42578125" style="73" hidden="1" customWidth="1" outlineLevel="1" collapsed="1"/>
    <col min="56" max="56" width="10.42578125" style="73" customWidth="1" collapsed="1"/>
    <col min="57" max="59" width="10.42578125" style="73" customWidth="1"/>
    <col min="60" max="60" width="8.85546875" style="73" customWidth="1"/>
    <col min="61" max="63" width="9.140625" style="14" customWidth="1"/>
    <col min="64" max="16384" width="9.140625" style="14"/>
  </cols>
  <sheetData>
    <row r="1" spans="1:60" ht="28.5" x14ac:dyDescent="0.45">
      <c r="A1" s="296" t="str">
        <f>MO.CompanyName</f>
        <v>Tesla, Inc.</v>
      </c>
      <c r="B1" s="1030"/>
      <c r="C1" s="713">
        <f t="shared" ref="C1:AH1" si="0">INDEX(MO_Common_QEndDate,0,COLUMN())</f>
        <v>40178</v>
      </c>
      <c r="D1" s="715">
        <f t="shared" si="0"/>
        <v>40543</v>
      </c>
      <c r="E1" s="715">
        <f t="shared" si="0"/>
        <v>40908</v>
      </c>
      <c r="F1" s="715">
        <f t="shared" si="0"/>
        <v>41274</v>
      </c>
      <c r="G1" s="268">
        <f t="shared" si="0"/>
        <v>41364</v>
      </c>
      <c r="H1" s="268">
        <f t="shared" si="0"/>
        <v>41455</v>
      </c>
      <c r="I1" s="268">
        <f t="shared" si="0"/>
        <v>41547</v>
      </c>
      <c r="J1" s="268">
        <f t="shared" si="0"/>
        <v>41639</v>
      </c>
      <c r="K1" s="715">
        <f t="shared" si="0"/>
        <v>41639</v>
      </c>
      <c r="L1" s="268">
        <f t="shared" si="0"/>
        <v>41729</v>
      </c>
      <c r="M1" s="268">
        <f t="shared" si="0"/>
        <v>41820</v>
      </c>
      <c r="N1" s="268">
        <f t="shared" si="0"/>
        <v>41912</v>
      </c>
      <c r="O1" s="268">
        <f t="shared" si="0"/>
        <v>42004</v>
      </c>
      <c r="P1" s="715">
        <f t="shared" si="0"/>
        <v>42004</v>
      </c>
      <c r="Q1" s="268">
        <f t="shared" si="0"/>
        <v>42094</v>
      </c>
      <c r="R1" s="268">
        <f t="shared" si="0"/>
        <v>42185</v>
      </c>
      <c r="S1" s="268">
        <f t="shared" si="0"/>
        <v>42277</v>
      </c>
      <c r="T1" s="268">
        <f t="shared" si="0"/>
        <v>42369</v>
      </c>
      <c r="U1" s="715">
        <f t="shared" si="0"/>
        <v>42369</v>
      </c>
      <c r="V1" s="268">
        <f t="shared" si="0"/>
        <v>42460</v>
      </c>
      <c r="W1" s="268">
        <f t="shared" si="0"/>
        <v>42551</v>
      </c>
      <c r="X1" s="268">
        <f t="shared" si="0"/>
        <v>42643</v>
      </c>
      <c r="Y1" s="268">
        <f t="shared" si="0"/>
        <v>42735</v>
      </c>
      <c r="Z1" s="715">
        <f t="shared" si="0"/>
        <v>42735</v>
      </c>
      <c r="AA1" s="268">
        <f t="shared" si="0"/>
        <v>42825</v>
      </c>
      <c r="AB1" s="268">
        <f t="shared" si="0"/>
        <v>42916</v>
      </c>
      <c r="AC1" s="268">
        <f t="shared" si="0"/>
        <v>43008</v>
      </c>
      <c r="AD1" s="268">
        <f t="shared" si="0"/>
        <v>43100</v>
      </c>
      <c r="AE1" s="715">
        <f t="shared" si="0"/>
        <v>43100</v>
      </c>
      <c r="AF1" s="268">
        <f t="shared" si="0"/>
        <v>43190</v>
      </c>
      <c r="AG1" s="268">
        <f t="shared" si="0"/>
        <v>43281</v>
      </c>
      <c r="AH1" s="268">
        <f t="shared" si="0"/>
        <v>43373</v>
      </c>
      <c r="AI1" s="268">
        <f t="shared" ref="AI1:AY1" si="1">INDEX(MO_Common_QEndDate,0,COLUMN())</f>
        <v>43465</v>
      </c>
      <c r="AJ1" s="715">
        <f t="shared" si="1"/>
        <v>43465</v>
      </c>
      <c r="AK1" s="268">
        <f t="shared" si="1"/>
        <v>43555</v>
      </c>
      <c r="AL1" s="268">
        <f t="shared" si="1"/>
        <v>43646</v>
      </c>
      <c r="AM1" s="268">
        <f t="shared" si="1"/>
        <v>43738</v>
      </c>
      <c r="AN1" s="268">
        <f t="shared" si="1"/>
        <v>43830</v>
      </c>
      <c r="AO1" s="715">
        <f t="shared" si="1"/>
        <v>43830</v>
      </c>
      <c r="AP1" s="268">
        <f t="shared" si="1"/>
        <v>43921</v>
      </c>
      <c r="AQ1" s="268">
        <f t="shared" si="1"/>
        <v>44012</v>
      </c>
      <c r="AR1" s="268">
        <f>INDEX(MO_Common_QEndDate,0,COLUMN())</f>
        <v>44104</v>
      </c>
      <c r="AS1" s="268">
        <f>INDEX(MO_Common_QEndDate,0,COLUMN())</f>
        <v>44196</v>
      </c>
      <c r="AT1" s="715">
        <f>INDEX(MO_Common_QEndDate,0,COLUMN())</f>
        <v>44196</v>
      </c>
      <c r="AU1" s="268">
        <f t="shared" si="1"/>
        <v>44286</v>
      </c>
      <c r="AV1" s="268">
        <f>INDEX(MO_Common_QEndDate,0,COLUMN())</f>
        <v>44377</v>
      </c>
      <c r="AW1" s="755">
        <f>INDEX(MO_Common_QEndDate,0,COLUMN())</f>
        <v>44469</v>
      </c>
      <c r="AX1" s="268">
        <f t="shared" si="1"/>
        <v>44561</v>
      </c>
      <c r="AY1" s="715">
        <f t="shared" si="1"/>
        <v>44561</v>
      </c>
      <c r="AZ1" s="268">
        <f t="shared" ref="AZ1:BG1" si="2">INDEX(MO_Common_QEndDate,0,COLUMN())</f>
        <v>44651</v>
      </c>
      <c r="BA1" s="268">
        <f t="shared" si="2"/>
        <v>44742</v>
      </c>
      <c r="BB1" s="268">
        <f t="shared" si="2"/>
        <v>44834</v>
      </c>
      <c r="BC1" s="268">
        <f t="shared" si="2"/>
        <v>44926</v>
      </c>
      <c r="BD1" s="715">
        <f t="shared" si="2"/>
        <v>44926</v>
      </c>
      <c r="BE1" s="715">
        <f t="shared" si="2"/>
        <v>45291</v>
      </c>
      <c r="BF1" s="715">
        <f t="shared" si="2"/>
        <v>45657</v>
      </c>
      <c r="BG1" s="715">
        <f t="shared" si="2"/>
        <v>46022</v>
      </c>
      <c r="BH1" s="1030"/>
    </row>
    <row r="2" spans="1:60" s="71" customFormat="1" x14ac:dyDescent="0.25">
      <c r="A2" s="324" t="s">
        <v>381</v>
      </c>
      <c r="B2" s="325" t="str">
        <f>MO.ReportFX</f>
        <v>USD</v>
      </c>
      <c r="C2" s="714" t="str">
        <f t="shared" ref="C2:AH2" si="3">INDEX(MO_Common_ColumnHeader,0,COLUMN())</f>
        <v>FY2009</v>
      </c>
      <c r="D2" s="716" t="str">
        <f t="shared" si="3"/>
        <v>FY2010</v>
      </c>
      <c r="E2" s="716" t="str">
        <f t="shared" si="3"/>
        <v>FY2011</v>
      </c>
      <c r="F2" s="716" t="str">
        <f t="shared" si="3"/>
        <v>FY2012</v>
      </c>
      <c r="G2" s="127" t="str">
        <f t="shared" si="3"/>
        <v>Q1-2013</v>
      </c>
      <c r="H2" s="127" t="str">
        <f t="shared" si="3"/>
        <v>Q2-2013</v>
      </c>
      <c r="I2" s="127" t="str">
        <f t="shared" si="3"/>
        <v>Q3-2013</v>
      </c>
      <c r="J2" s="127" t="str">
        <f t="shared" si="3"/>
        <v>Q4-2013</v>
      </c>
      <c r="K2" s="716" t="str">
        <f t="shared" si="3"/>
        <v>FY2013</v>
      </c>
      <c r="L2" s="127" t="str">
        <f t="shared" si="3"/>
        <v>Q1-2014</v>
      </c>
      <c r="M2" s="127" t="str">
        <f t="shared" si="3"/>
        <v>Q2-2014</v>
      </c>
      <c r="N2" s="127" t="str">
        <f t="shared" si="3"/>
        <v>Q3-2014</v>
      </c>
      <c r="O2" s="127" t="str">
        <f t="shared" si="3"/>
        <v>Q4-2014</v>
      </c>
      <c r="P2" s="716" t="str">
        <f t="shared" si="3"/>
        <v>FY2014</v>
      </c>
      <c r="Q2" s="127" t="str">
        <f t="shared" si="3"/>
        <v>Q1-2015</v>
      </c>
      <c r="R2" s="127" t="str">
        <f t="shared" si="3"/>
        <v>Q2-2015</v>
      </c>
      <c r="S2" s="127" t="str">
        <f t="shared" si="3"/>
        <v>Q3-2015</v>
      </c>
      <c r="T2" s="127" t="str">
        <f t="shared" si="3"/>
        <v>Q4-2015</v>
      </c>
      <c r="U2" s="716" t="str">
        <f t="shared" si="3"/>
        <v>FY2015</v>
      </c>
      <c r="V2" s="127" t="str">
        <f t="shared" si="3"/>
        <v>Q1-2016</v>
      </c>
      <c r="W2" s="127" t="str">
        <f t="shared" si="3"/>
        <v>Q2-2016</v>
      </c>
      <c r="X2" s="127" t="str">
        <f t="shared" si="3"/>
        <v>Q3-2016</v>
      </c>
      <c r="Y2" s="127" t="str">
        <f t="shared" si="3"/>
        <v>Q4-2016</v>
      </c>
      <c r="Z2" s="716" t="str">
        <f t="shared" si="3"/>
        <v>FY2016</v>
      </c>
      <c r="AA2" s="127" t="str">
        <f t="shared" si="3"/>
        <v>Q1-2017</v>
      </c>
      <c r="AB2" s="127" t="str">
        <f t="shared" si="3"/>
        <v>Q2-2017</v>
      </c>
      <c r="AC2" s="127" t="str">
        <f t="shared" si="3"/>
        <v>Q3-2017</v>
      </c>
      <c r="AD2" s="127" t="str">
        <f t="shared" si="3"/>
        <v>Q4-2017</v>
      </c>
      <c r="AE2" s="716" t="str">
        <f t="shared" si="3"/>
        <v>FY2017</v>
      </c>
      <c r="AF2" s="127" t="str">
        <f t="shared" si="3"/>
        <v>Q1-2018</v>
      </c>
      <c r="AG2" s="127" t="str">
        <f t="shared" si="3"/>
        <v>Q2-2018</v>
      </c>
      <c r="AH2" s="127" t="str">
        <f t="shared" si="3"/>
        <v>Q3-2018</v>
      </c>
      <c r="AI2" s="127" t="str">
        <f t="shared" ref="AI2:AY2" si="4">INDEX(MO_Common_ColumnHeader,0,COLUMN())</f>
        <v>Q4-2018</v>
      </c>
      <c r="AJ2" s="716" t="str">
        <f t="shared" si="4"/>
        <v>FY2018</v>
      </c>
      <c r="AK2" s="127" t="str">
        <f t="shared" si="4"/>
        <v>Q1-2019</v>
      </c>
      <c r="AL2" s="127" t="str">
        <f t="shared" si="4"/>
        <v>Q2-2019</v>
      </c>
      <c r="AM2" s="127" t="str">
        <f t="shared" si="4"/>
        <v>Q3-2019</v>
      </c>
      <c r="AN2" s="127" t="str">
        <f t="shared" si="4"/>
        <v>Q4-2019</v>
      </c>
      <c r="AO2" s="716" t="str">
        <f t="shared" si="4"/>
        <v>FY2019</v>
      </c>
      <c r="AP2" s="127" t="str">
        <f t="shared" si="4"/>
        <v>Q1-2020</v>
      </c>
      <c r="AQ2" s="127" t="str">
        <f t="shared" si="4"/>
        <v>Q2-2020</v>
      </c>
      <c r="AR2" s="127" t="str">
        <f>INDEX(MO_Common_ColumnHeader,0,COLUMN())</f>
        <v>Q3-2020</v>
      </c>
      <c r="AS2" s="127" t="str">
        <f>INDEX(MO_Common_ColumnHeader,0,COLUMN())</f>
        <v>Q4-2020</v>
      </c>
      <c r="AT2" s="716" t="str">
        <f>INDEX(MO_Common_ColumnHeader,0,COLUMN())</f>
        <v>FY2020</v>
      </c>
      <c r="AU2" s="127" t="str">
        <f t="shared" si="4"/>
        <v>Q1-2021</v>
      </c>
      <c r="AV2" s="127" t="str">
        <f>INDEX(MO_Common_ColumnHeader,0,COLUMN())</f>
        <v>Q2-2021</v>
      </c>
      <c r="AW2" s="756" t="str">
        <f>INDEX(MO_Common_ColumnHeader,0,COLUMN())</f>
        <v>Q3-2021</v>
      </c>
      <c r="AX2" s="127" t="str">
        <f t="shared" si="4"/>
        <v>Q4-2021</v>
      </c>
      <c r="AY2" s="716" t="str">
        <f t="shared" si="4"/>
        <v>FY2021</v>
      </c>
      <c r="AZ2" s="127" t="str">
        <f t="shared" ref="AZ2:BG2" si="5">INDEX(MO_Common_ColumnHeader,0,COLUMN())</f>
        <v>Q1-2022</v>
      </c>
      <c r="BA2" s="127" t="str">
        <f t="shared" si="5"/>
        <v>Q2-2022</v>
      </c>
      <c r="BB2" s="127" t="str">
        <f t="shared" si="5"/>
        <v>Q3-2022</v>
      </c>
      <c r="BC2" s="127" t="str">
        <f t="shared" si="5"/>
        <v>Q4-2022</v>
      </c>
      <c r="BD2" s="716" t="str">
        <f t="shared" si="5"/>
        <v>FY2022</v>
      </c>
      <c r="BE2" s="716" t="str">
        <f t="shared" si="5"/>
        <v>FY2023</v>
      </c>
      <c r="BF2" s="716" t="str">
        <f t="shared" si="5"/>
        <v>FY2024</v>
      </c>
      <c r="BG2" s="716" t="str">
        <f t="shared" si="5"/>
        <v>FY2025</v>
      </c>
      <c r="BH2" s="1030"/>
    </row>
    <row r="3" spans="1:60" s="73" customFormat="1" x14ac:dyDescent="0.25">
      <c r="A3" s="196" t="s">
        <v>382</v>
      </c>
      <c r="B3" s="196"/>
      <c r="C3" s="196"/>
      <c r="D3" s="196"/>
      <c r="E3" s="196"/>
      <c r="F3" s="196"/>
      <c r="G3" s="196"/>
      <c r="H3" s="196"/>
      <c r="I3" s="196"/>
      <c r="J3" s="196"/>
      <c r="K3" s="196"/>
      <c r="L3" s="196"/>
      <c r="M3" s="196"/>
      <c r="N3" s="196"/>
      <c r="O3" s="196"/>
      <c r="P3" s="196"/>
      <c r="Q3" s="196"/>
      <c r="R3" s="196"/>
      <c r="S3" s="196"/>
      <c r="T3" s="196"/>
      <c r="U3" s="196"/>
      <c r="V3" s="196"/>
      <c r="W3" s="196"/>
      <c r="X3" s="196"/>
      <c r="Y3" s="196"/>
      <c r="Z3" s="196"/>
      <c r="AA3" s="196"/>
      <c r="AB3" s="196"/>
      <c r="AC3" s="196"/>
      <c r="AD3" s="196"/>
      <c r="AE3" s="196"/>
      <c r="AF3" s="196"/>
      <c r="AG3" s="196"/>
      <c r="AH3" s="196"/>
      <c r="AI3" s="196"/>
      <c r="AJ3" s="196"/>
      <c r="AK3" s="196"/>
      <c r="AL3" s="196"/>
      <c r="AM3" s="196"/>
      <c r="AN3" s="196"/>
      <c r="AO3" s="196"/>
      <c r="AP3" s="196"/>
      <c r="AQ3" s="196"/>
      <c r="AR3" s="196"/>
      <c r="AS3" s="196"/>
      <c r="AT3" s="196"/>
      <c r="AU3" s="196"/>
      <c r="AV3" s="196"/>
      <c r="AW3" s="757"/>
      <c r="AX3" s="196"/>
      <c r="AY3" s="196"/>
      <c r="AZ3" s="196"/>
      <c r="BA3" s="196"/>
      <c r="BB3" s="196"/>
      <c r="BC3" s="196"/>
      <c r="BD3" s="196"/>
      <c r="BE3" s="196"/>
      <c r="BF3" s="196"/>
      <c r="BG3" s="196"/>
      <c r="BH3" s="299"/>
    </row>
    <row r="4" spans="1:60" s="74" customFormat="1" x14ac:dyDescent="0.25">
      <c r="A4" s="588" t="str">
        <f>"Stock Price - "&amp;SP.ValuationToggle</f>
        <v>Stock Price - Avg</v>
      </c>
      <c r="B4" s="269" t="s">
        <v>165</v>
      </c>
      <c r="C4" s="128"/>
      <c r="D4" s="128">
        <f t="shared" ref="D4:AH4" ca="1" si="6">IF(INDEX(MO_SNA_IsHistoricalPeriod,1,COLUMN())=FALSE,MO.LastPrice/HP.MRFX,CHOOSE(VLOOKUP(SP.ValuationToggle,tb_ValuationToggle,COLUMNS(tb_ValuationToggle),FALSE),INDEX(MO_SPT_StockHigh,1,COLUMN()),INDEX(MO_SPT_StockLow,1,COLUMN()),INDEX(MO_SPT_StockAverage,1,COLUMN()))/IF(INDEX(MO_SPT_FXAverage,1,COLUMN())=0,1,INDEX(MO_SPT_FXAverage,1,COLUMN())))</f>
        <v>4.6683446153846102</v>
      </c>
      <c r="E4" s="128">
        <f t="shared" ca="1" si="6"/>
        <v>5.3609420634920602</v>
      </c>
      <c r="F4" s="128">
        <f t="shared" ca="1" si="6"/>
        <v>6.2337388000000002</v>
      </c>
      <c r="G4" s="129">
        <f t="shared" ca="1" si="6"/>
        <v>7.2993666666666703</v>
      </c>
      <c r="H4" s="129">
        <f t="shared" ca="1" si="6"/>
        <v>15.054917187499999</v>
      </c>
      <c r="I4" s="129">
        <f t="shared" ca="1" si="6"/>
        <v>29.680643750000002</v>
      </c>
      <c r="J4" s="129">
        <f t="shared" ca="1" si="6"/>
        <v>30.637359374999999</v>
      </c>
      <c r="K4" s="128">
        <f t="shared" ca="1" si="6"/>
        <v>20.880273412698401</v>
      </c>
      <c r="L4" s="129">
        <f t="shared" ca="1" si="6"/>
        <v>40.182327868852397</v>
      </c>
      <c r="M4" s="129">
        <f t="shared" ca="1" si="6"/>
        <v>41.841355555555602</v>
      </c>
      <c r="N4" s="129">
        <f t="shared" ca="1" si="6"/>
        <v>49.505859375</v>
      </c>
      <c r="O4" s="129">
        <f t="shared" ca="1" si="6"/>
        <v>46.879406250000002</v>
      </c>
      <c r="P4" s="128">
        <f t="shared" ca="1" si="6"/>
        <v>44.665811111111097</v>
      </c>
      <c r="Q4" s="129">
        <f t="shared" ca="1" si="6"/>
        <v>40.497278688524602</v>
      </c>
      <c r="R4" s="129">
        <f t="shared" ca="1" si="6"/>
        <v>47.435809523809503</v>
      </c>
      <c r="S4" s="129">
        <f t="shared" ca="1" si="6"/>
        <v>50.974312500000003</v>
      </c>
      <c r="T4" s="129">
        <f t="shared" ca="1" si="6"/>
        <v>44.890749999999997</v>
      </c>
      <c r="U4" s="128">
        <f t="shared" ca="1" si="6"/>
        <v>46.008547619047597</v>
      </c>
      <c r="V4" s="129">
        <f t="shared" ca="1" si="6"/>
        <v>39.4600655737705</v>
      </c>
      <c r="W4" s="129">
        <f t="shared" ca="1" si="6"/>
        <v>45.455968749999997</v>
      </c>
      <c r="X4" s="129">
        <f t="shared" ca="1" si="6"/>
        <v>43.315156250000001</v>
      </c>
      <c r="Y4" s="129">
        <f t="shared" ca="1" si="6"/>
        <v>39.426253968254002</v>
      </c>
      <c r="Z4" s="130">
        <f t="shared" ca="1" si="6"/>
        <v>41.953452380952399</v>
      </c>
      <c r="AA4" s="129">
        <f t="shared" ca="1" si="6"/>
        <v>50.756516129032299</v>
      </c>
      <c r="AB4" s="129">
        <f t="shared" ca="1" si="6"/>
        <v>66.036888888888896</v>
      </c>
      <c r="AC4" s="129">
        <f t="shared" ca="1" si="6"/>
        <v>69.217047619047605</v>
      </c>
      <c r="AD4" s="129">
        <f t="shared" ca="1" si="6"/>
        <v>65.250412698412703</v>
      </c>
      <c r="AE4" s="130">
        <f t="shared" ca="1" si="6"/>
        <v>62.863258964143398</v>
      </c>
      <c r="AF4" s="129">
        <f t="shared" ca="1" si="6"/>
        <v>65.985786885245901</v>
      </c>
      <c r="AG4" s="129">
        <f t="shared" ca="1" si="6"/>
        <v>60.967453124999999</v>
      </c>
      <c r="AH4" s="129">
        <f t="shared" ca="1" si="6"/>
        <v>62.483206349206398</v>
      </c>
      <c r="AI4" s="129">
        <f t="shared" ref="AI4:AY4" ca="1" si="7">IF(INDEX(MO_SNA_IsHistoricalPeriod,1,COLUMN())=FALSE,MO.LastPrice/HP.MRFX,CHOOSE(VLOOKUP(SP.ValuationToggle,tb_ValuationToggle,COLUMNS(tb_ValuationToggle),FALSE),INDEX(MO_SPT_StockHigh,1,COLUMN()),INDEX(MO_SPT_StockLow,1,COLUMN()),INDEX(MO_SPT_StockAverage,1,COLUMN()))/IF(INDEX(MO_SPT_FXAverage,1,COLUMN())=0,1,INDEX(MO_SPT_FXAverage,1,COLUMN())))</f>
        <v>64.531158730158793</v>
      </c>
      <c r="AJ4" s="130">
        <f t="shared" ca="1" si="7"/>
        <v>63.461972111553798</v>
      </c>
      <c r="AK4" s="129">
        <f t="shared" ca="1" si="7"/>
        <v>60.2233442622951</v>
      </c>
      <c r="AL4" s="129">
        <f t="shared" ca="1" si="7"/>
        <v>46.691555555555603</v>
      </c>
      <c r="AM4" s="129">
        <f t="shared" ca="1" si="7"/>
        <v>46.9684375</v>
      </c>
      <c r="AN4" s="129">
        <f t="shared" ca="1" si="7"/>
        <v>65.07421875</v>
      </c>
      <c r="AO4" s="130">
        <f t="shared" ca="1" si="7"/>
        <v>54.706039682539597</v>
      </c>
      <c r="AP4" s="129">
        <f t="shared" ca="1" si="7"/>
        <v>124.366322580645</v>
      </c>
      <c r="AQ4" s="129">
        <f t="shared" ca="1" si="7"/>
        <v>162.29209523809499</v>
      </c>
      <c r="AR4" s="129">
        <f ca="1">IF(INDEX(MO_SNA_IsHistoricalPeriod,1,COLUMN())=FALSE,MO.LastPrice/HP.MRFX,CHOOSE(VLOOKUP(SP.ValuationToggle,tb_ValuationToggle,COLUMNS(tb_ValuationToggle),FALSE),INDEX(MO_SPT_StockHigh,1,COLUMN()),INDEX(MO_SPT_StockLow,1,COLUMN()),INDEX(MO_SPT_StockAverage,1,COLUMN()))/IF(INDEX(MO_SPT_FXAverage,1,COLUMN())=0,1,INDEX(MO_SPT_FXAverage,1,COLUMN())))</f>
        <v>354.20740625000002</v>
      </c>
      <c r="AS4" s="129">
        <f ca="1">IF(INDEX(MO_SNA_IsHistoricalPeriod,1,COLUMN())=FALSE,MO.LastPrice/HP.MRFX,CHOOSE(VLOOKUP(SP.ValuationToggle,tb_ValuationToggle,COLUMNS(tb_ValuationToggle),FALSE),INDEX(MO_SPT_StockHigh,1,COLUMN()),INDEX(MO_SPT_StockLow,1,COLUMN()),INDEX(MO_SPT_StockAverage,1,COLUMN()))/IF(INDEX(MO_SPT_FXAverage,1,COLUMN())=0,1,INDEX(MO_SPT_FXAverage,1,COLUMN())))</f>
        <v>511.95109374999998</v>
      </c>
      <c r="AT4" s="130">
        <f ca="1">IF(INDEX(MO_SNA_IsHistoricalPeriod,1,COLUMN())=FALSE,MO.LastPrice/HP.MRFX,CHOOSE(VLOOKUP(SP.ValuationToggle,tb_ValuationToggle,COLUMNS(tb_ValuationToggle),FALSE),INDEX(MO_SPT_StockHigh,1,COLUMN()),INDEX(MO_SPT_StockLow,1,COLUMN()),INDEX(MO_SPT_StockAverage,1,COLUMN()))/IF(INDEX(MO_SPT_FXAverage,1,COLUMN())=0,1,INDEX(MO_SPT_FXAverage,1,COLUMN())))</f>
        <v>289.997067193676</v>
      </c>
      <c r="AU4" s="129">
        <f t="shared" ca="1" si="7"/>
        <v>753.18590163934402</v>
      </c>
      <c r="AV4" s="129">
        <f ca="1">IF(INDEX(MO_SNA_IsHistoricalPeriod,1,COLUMN())=FALSE,MO.LastPrice/HP.MRFX,CHOOSE(VLOOKUP(SP.ValuationToggle,tb_ValuationToggle,COLUMNS(tb_ValuationToggle),FALSE),INDEX(MO_SPT_StockHigh,1,COLUMN()),INDEX(MO_SPT_StockLow,1,COLUMN()),INDEX(MO_SPT_StockAverage,1,COLUMN()))/IF(INDEX(MO_SPT_FXAverage,1,COLUMN())=0,1,INDEX(MO_SPT_FXAverage,1,COLUMN())))</f>
        <v>651.25825396825405</v>
      </c>
      <c r="AW4" s="758">
        <f ca="1">IF(INDEX(MO_SNA_IsHistoricalPeriod,1,COLUMN())=FALSE,MO.LastPrice/HP.MRFX,CHOOSE(VLOOKUP(SP.ValuationToggle,tb_ValuationToggle,COLUMNS(tb_ValuationToggle),FALSE),INDEX(MO_SPT_StockHigh,1,COLUMN()),INDEX(MO_SPT_StockLow,1,COLUMN()),INDEX(MO_SPT_StockAverage,1,COLUMN()))/IF(INDEX(MO_SPT_FXAverage,1,COLUMN())=0,1,INDEX(MO_SPT_FXAverage,1,COLUMN())))</f>
        <v>706.26468750000004</v>
      </c>
      <c r="AX4" s="129">
        <f t="shared" ca="1" si="7"/>
        <v>1049.6099999999999</v>
      </c>
      <c r="AY4" s="130">
        <f t="shared" ca="1" si="7"/>
        <v>1049.6099999999999</v>
      </c>
      <c r="AZ4" s="129">
        <f t="shared" ref="AZ4:BG4" ca="1" si="8">IF(INDEX(MO_SNA_IsHistoricalPeriod,1,COLUMN())=FALSE,MO.LastPrice/HP.MRFX,CHOOSE(VLOOKUP(SP.ValuationToggle,tb_ValuationToggle,COLUMNS(tb_ValuationToggle),FALSE),INDEX(MO_SPT_StockHigh,1,COLUMN()),INDEX(MO_SPT_StockLow,1,COLUMN()),INDEX(MO_SPT_StockAverage,1,COLUMN()))/IF(INDEX(MO_SPT_FXAverage,1,COLUMN())=0,1,INDEX(MO_SPT_FXAverage,1,COLUMN())))</f>
        <v>1049.6099999999999</v>
      </c>
      <c r="BA4" s="129">
        <f t="shared" ca="1" si="8"/>
        <v>1049.6099999999999</v>
      </c>
      <c r="BB4" s="129">
        <f t="shared" ca="1" si="8"/>
        <v>1049.6099999999999</v>
      </c>
      <c r="BC4" s="129">
        <f t="shared" ca="1" si="8"/>
        <v>1049.6099999999999</v>
      </c>
      <c r="BD4" s="130">
        <f t="shared" ca="1" si="8"/>
        <v>1049.6099999999999</v>
      </c>
      <c r="BE4" s="130">
        <f t="shared" ca="1" si="8"/>
        <v>1049.6099999999999</v>
      </c>
      <c r="BF4" s="130">
        <f t="shared" ca="1" si="8"/>
        <v>1049.6099999999999</v>
      </c>
      <c r="BG4" s="130">
        <f t="shared" ca="1" si="8"/>
        <v>1049.6099999999999</v>
      </c>
      <c r="BH4" s="137"/>
    </row>
    <row r="5" spans="1:60" s="75" customFormat="1" x14ac:dyDescent="0.25">
      <c r="A5" s="490" t="str">
        <f>INDEX(MO_RIS_ShareCount_WAD_Adj,0,COLUMN())</f>
        <v>Adjusted Shares Outstanding - WAD</v>
      </c>
      <c r="B5" s="491"/>
      <c r="C5" s="1080"/>
      <c r="D5" s="1080">
        <f t="shared" ref="D5:AI5" si="9">INDEX(MO_RIS_ShareCount_WAD_Adj,0,COLUMN())</f>
        <v>253.59151</v>
      </c>
      <c r="E5" s="1080">
        <f t="shared" si="9"/>
        <v>501.94499999999999</v>
      </c>
      <c r="F5" s="1080">
        <f t="shared" si="9"/>
        <v>536.745</v>
      </c>
      <c r="G5" s="1081">
        <f t="shared" si="9"/>
        <v>621.32646</v>
      </c>
      <c r="H5" s="1081">
        <f t="shared" si="9"/>
        <v>652.51499999999987</v>
      </c>
      <c r="I5" s="1081">
        <f t="shared" si="9"/>
        <v>685.65499999999997</v>
      </c>
      <c r="J5" s="1081">
        <f t="shared" si="9"/>
        <v>688.92</v>
      </c>
      <c r="K5" s="1080">
        <f t="shared" si="9"/>
        <v>667.73</v>
      </c>
      <c r="L5" s="1081">
        <f t="shared" si="9"/>
        <v>701.10500000000002</v>
      </c>
      <c r="M5" s="1081">
        <f t="shared" si="9"/>
        <v>704.74</v>
      </c>
      <c r="N5" s="1081">
        <f t="shared" si="9"/>
        <v>713.73500000000013</v>
      </c>
      <c r="O5" s="1081">
        <f t="shared" si="9"/>
        <v>627.48500000000001</v>
      </c>
      <c r="P5" s="1080">
        <f t="shared" si="9"/>
        <v>711.10500000000002</v>
      </c>
      <c r="Q5" s="1081">
        <f t="shared" si="9"/>
        <v>629.73500000000001</v>
      </c>
      <c r="R5" s="1081">
        <f t="shared" si="9"/>
        <v>633.44377499999996</v>
      </c>
      <c r="S5" s="1081">
        <f t="shared" si="9"/>
        <v>645.03</v>
      </c>
      <c r="T5" s="1081">
        <f t="shared" si="9"/>
        <v>655.5</v>
      </c>
      <c r="U5" s="1080">
        <f t="shared" si="9"/>
        <v>641.01</v>
      </c>
      <c r="V5" s="1081">
        <f t="shared" si="9"/>
        <v>663.37999999999988</v>
      </c>
      <c r="W5" s="1081">
        <f t="shared" si="9"/>
        <v>699.91499999999996</v>
      </c>
      <c r="X5" s="1081">
        <f t="shared" si="9"/>
        <v>744.95500000000004</v>
      </c>
      <c r="Y5" s="1081">
        <f t="shared" si="9"/>
        <v>775.12</v>
      </c>
      <c r="Z5" s="1080">
        <f t="shared" si="9"/>
        <v>721.06</v>
      </c>
      <c r="AA5" s="1081">
        <f t="shared" si="9"/>
        <v>810.64499999999998</v>
      </c>
      <c r="AB5" s="1081">
        <f t="shared" si="9"/>
        <v>826.06</v>
      </c>
      <c r="AC5" s="1081">
        <f t="shared" si="9"/>
        <v>836.47</v>
      </c>
      <c r="AD5" s="1081">
        <f t="shared" si="9"/>
        <v>841.56999999999994</v>
      </c>
      <c r="AE5" s="1080">
        <f t="shared" si="9"/>
        <v>828.79000000000008</v>
      </c>
      <c r="AF5" s="1081">
        <f t="shared" si="9"/>
        <v>845.7299999999999</v>
      </c>
      <c r="AG5" s="1081">
        <f t="shared" si="9"/>
        <v>849.98500000000013</v>
      </c>
      <c r="AH5" s="1081">
        <f t="shared" si="9"/>
        <v>890.98</v>
      </c>
      <c r="AI5" s="1081">
        <f t="shared" si="9"/>
        <v>895.13000000000011</v>
      </c>
      <c r="AJ5" s="1080">
        <f t="shared" ref="AJ5:AY5" si="10">INDEX(MO_RIS_ShareCount_WAD_Adj,0,COLUMN())</f>
        <v>852.625</v>
      </c>
      <c r="AK5" s="1081">
        <f t="shared" si="10"/>
        <v>864.94500000000005</v>
      </c>
      <c r="AL5" s="1081">
        <f t="shared" si="10"/>
        <v>883.27</v>
      </c>
      <c r="AM5" s="1081">
        <f t="shared" si="10"/>
        <v>920</v>
      </c>
      <c r="AN5" s="1081">
        <f t="shared" si="10"/>
        <v>935</v>
      </c>
      <c r="AO5" s="1080">
        <f t="shared" si="10"/>
        <v>885</v>
      </c>
      <c r="AP5" s="1081">
        <f t="shared" si="10"/>
        <v>995</v>
      </c>
      <c r="AQ5" s="1081">
        <f t="shared" si="10"/>
        <v>1035</v>
      </c>
      <c r="AR5" s="1081">
        <f>INDEX(MO_RIS_ShareCount_WAD_Adj,0,COLUMN())</f>
        <v>1105</v>
      </c>
      <c r="AS5" s="1081">
        <f>INDEX(MO_RIS_ShareCount_WAD_Adj,0,COLUMN())</f>
        <v>1124</v>
      </c>
      <c r="AT5" s="1080">
        <f>INDEX(MO_RIS_ShareCount_WAD_Adj,0,COLUMN())</f>
        <v>1083</v>
      </c>
      <c r="AU5" s="1081">
        <f t="shared" si="10"/>
        <v>1133</v>
      </c>
      <c r="AV5" s="1081">
        <f>INDEX(MO_RIS_ShareCount_WAD_Adj,0,COLUMN())</f>
        <v>1119</v>
      </c>
      <c r="AW5" s="1082">
        <f>INDEX(MO_RIS_ShareCount_WAD_Adj,0,COLUMN())</f>
        <v>1123</v>
      </c>
      <c r="AX5" s="1081">
        <f t="shared" ca="1" si="10"/>
        <v>1123</v>
      </c>
      <c r="AY5" s="1080">
        <f t="shared" ca="1" si="10"/>
        <v>1124.5</v>
      </c>
      <c r="AZ5" s="1081">
        <f t="shared" ref="AZ5:BG5" ca="1" si="11">INDEX(MO_RIS_ShareCount_WAD_Adj,0,COLUMN())</f>
        <v>1123</v>
      </c>
      <c r="BA5" s="1081">
        <f t="shared" ca="1" si="11"/>
        <v>1123</v>
      </c>
      <c r="BB5" s="1081">
        <f t="shared" ca="1" si="11"/>
        <v>1123</v>
      </c>
      <c r="BC5" s="1081">
        <f t="shared" ca="1" si="11"/>
        <v>1123</v>
      </c>
      <c r="BD5" s="1080">
        <f t="shared" ca="1" si="11"/>
        <v>1123</v>
      </c>
      <c r="BE5" s="1080">
        <f t="shared" ca="1" si="11"/>
        <v>1123</v>
      </c>
      <c r="BF5" s="1080">
        <f t="shared" ca="1" si="11"/>
        <v>1123</v>
      </c>
      <c r="BG5" s="1080">
        <f t="shared" ca="1" si="11"/>
        <v>1123</v>
      </c>
      <c r="BH5" s="1030"/>
    </row>
    <row r="6" spans="1:60" s="76" customFormat="1" x14ac:dyDescent="0.25">
      <c r="A6" s="329" t="str">
        <f>"Market Cap - "&amp;SP.ValuationToggle</f>
        <v>Market Cap - Avg</v>
      </c>
      <c r="B6" s="330"/>
      <c r="C6" s="1083"/>
      <c r="D6" s="1083">
        <f t="shared" ref="D6:AI6" ca="1" si="12">INDEX(SP_CS_StockPrice,0,COLUMN())*INDEX(SP_CS_ShareCount,0,COLUMN())</f>
        <v>1183.8525602157524</v>
      </c>
      <c r="E6" s="1083">
        <f t="shared" ca="1" si="12"/>
        <v>2690.8980640595223</v>
      </c>
      <c r="F6" s="1083">
        <f t="shared" ca="1" si="12"/>
        <v>3345.9281322060001</v>
      </c>
      <c r="G6" s="1084">
        <f t="shared" ca="1" si="12"/>
        <v>4535.289651242002</v>
      </c>
      <c r="H6" s="1084">
        <f t="shared" ca="1" si="12"/>
        <v>9823.5592886015602</v>
      </c>
      <c r="I6" s="1084">
        <f t="shared" ca="1" si="12"/>
        <v>20350.681790406252</v>
      </c>
      <c r="J6" s="1084">
        <f t="shared" ca="1" si="12"/>
        <v>21106.689620624998</v>
      </c>
      <c r="K6" s="1083">
        <f t="shared" ca="1" si="12"/>
        <v>13942.384965861103</v>
      </c>
      <c r="L6" s="1084">
        <f t="shared" ca="1" si="12"/>
        <v>28172.03098049176</v>
      </c>
      <c r="M6" s="1084">
        <f t="shared" ca="1" si="12"/>
        <v>29487.276914222253</v>
      </c>
      <c r="N6" s="1084">
        <f t="shared" ca="1" si="12"/>
        <v>35334.064541015628</v>
      </c>
      <c r="O6" s="1084">
        <f t="shared" ca="1" si="12"/>
        <v>29416.124230781254</v>
      </c>
      <c r="P6" s="1083">
        <f t="shared" ca="1" si="12"/>
        <v>31762.081610166657</v>
      </c>
      <c r="Q6" s="1084">
        <f t="shared" ca="1" si="12"/>
        <v>25502.55379491804</v>
      </c>
      <c r="R6" s="1084">
        <f t="shared" ca="1" si="12"/>
        <v>30047.918254942841</v>
      </c>
      <c r="S6" s="1084">
        <f t="shared" ca="1" si="12"/>
        <v>32879.960791875004</v>
      </c>
      <c r="T6" s="1084">
        <f t="shared" ca="1" si="12"/>
        <v>29425.886624999999</v>
      </c>
      <c r="U6" s="1083">
        <f t="shared" ca="1" si="12"/>
        <v>29491.9391092857</v>
      </c>
      <c r="V6" s="1084">
        <f t="shared" ca="1" si="12"/>
        <v>26177.018300327869</v>
      </c>
      <c r="W6" s="1084">
        <f t="shared" ca="1" si="12"/>
        <v>31815.314367656247</v>
      </c>
      <c r="X6" s="1084">
        <f t="shared" ca="1" si="12"/>
        <v>32267.842224218752</v>
      </c>
      <c r="Y6" s="1084">
        <f t="shared" ca="1" si="12"/>
        <v>30560.077975873042</v>
      </c>
      <c r="Z6" s="1083">
        <f t="shared" ca="1" si="12"/>
        <v>30250.956373809535</v>
      </c>
      <c r="AA6" s="1084">
        <f t="shared" ca="1" si="12"/>
        <v>41145.516017419388</v>
      </c>
      <c r="AB6" s="1084">
        <f t="shared" ca="1" si="12"/>
        <v>54550.432435555558</v>
      </c>
      <c r="AC6" s="1084">
        <f t="shared" ca="1" si="12"/>
        <v>57897.983821904752</v>
      </c>
      <c r="AD6" s="1084">
        <f t="shared" ca="1" si="12"/>
        <v>54912.789814603173</v>
      </c>
      <c r="AE6" s="1083">
        <f t="shared" ca="1" si="12"/>
        <v>52100.440396892409</v>
      </c>
      <c r="AF6" s="1084">
        <f t="shared" ca="1" si="12"/>
        <v>55806.159542459012</v>
      </c>
      <c r="AG6" s="1084">
        <f t="shared" ca="1" si="12"/>
        <v>51821.42064445313</v>
      </c>
      <c r="AH6" s="1084">
        <f t="shared" ca="1" si="12"/>
        <v>55671.287193015916</v>
      </c>
      <c r="AI6" s="1084">
        <f t="shared" ca="1" si="12"/>
        <v>57763.776114127046</v>
      </c>
      <c r="AJ6" s="1083">
        <f t="shared" ref="AJ6:AY6" ca="1" si="13">INDEX(SP_CS_StockPrice,0,COLUMN())*INDEX(SP_CS_ShareCount,0,COLUMN())</f>
        <v>54109.26397161356</v>
      </c>
      <c r="AK6" s="1084">
        <f t="shared" ca="1" si="13"/>
        <v>52089.880502950837</v>
      </c>
      <c r="AL6" s="1084">
        <f t="shared" ca="1" si="13"/>
        <v>41241.250275555598</v>
      </c>
      <c r="AM6" s="1084">
        <f t="shared" ca="1" si="13"/>
        <v>43210.962500000001</v>
      </c>
      <c r="AN6" s="1084">
        <f t="shared" ca="1" si="13"/>
        <v>60844.39453125</v>
      </c>
      <c r="AO6" s="1083">
        <f t="shared" ca="1" si="13"/>
        <v>48414.845119047546</v>
      </c>
      <c r="AP6" s="1084">
        <f t="shared" ca="1" si="13"/>
        <v>123744.49096774177</v>
      </c>
      <c r="AQ6" s="1084">
        <f t="shared" ca="1" si="13"/>
        <v>167972.3185714283</v>
      </c>
      <c r="AR6" s="1084">
        <f ca="1">INDEX(SP_CS_StockPrice,0,COLUMN())*INDEX(SP_CS_ShareCount,0,COLUMN())</f>
        <v>391399.18390624999</v>
      </c>
      <c r="AS6" s="1084">
        <f ca="1">INDEX(SP_CS_StockPrice,0,COLUMN())*INDEX(SP_CS_ShareCount,0,COLUMN())</f>
        <v>575433.02937499993</v>
      </c>
      <c r="AT6" s="1083">
        <f ca="1">INDEX(SP_CS_StockPrice,0,COLUMN())*INDEX(SP_CS_ShareCount,0,COLUMN())</f>
        <v>314066.82377075113</v>
      </c>
      <c r="AU6" s="1084">
        <f t="shared" ca="1" si="13"/>
        <v>853359.62655737682</v>
      </c>
      <c r="AV6" s="1084">
        <f ca="1">INDEX(SP_CS_StockPrice,0,COLUMN())*INDEX(SP_CS_ShareCount,0,COLUMN())</f>
        <v>728757.98619047634</v>
      </c>
      <c r="AW6" s="1085">
        <f ca="1">INDEX(SP_CS_StockPrice,0,COLUMN())*INDEX(SP_CS_ShareCount,0,COLUMN())</f>
        <v>793135.24406250007</v>
      </c>
      <c r="AX6" s="1084">
        <f t="shared" ca="1" si="13"/>
        <v>1178712.0299999998</v>
      </c>
      <c r="AY6" s="1083">
        <f t="shared" ca="1" si="13"/>
        <v>1180286.4449999998</v>
      </c>
      <c r="AZ6" s="1084">
        <f t="shared" ref="AZ6:BG6" ca="1" si="14">INDEX(SP_CS_StockPrice,0,COLUMN())*INDEX(SP_CS_ShareCount,0,COLUMN())</f>
        <v>1178712.0299999998</v>
      </c>
      <c r="BA6" s="1084">
        <f t="shared" ca="1" si="14"/>
        <v>1178712.0299999998</v>
      </c>
      <c r="BB6" s="1084">
        <f t="shared" ca="1" si="14"/>
        <v>1178712.0299999998</v>
      </c>
      <c r="BC6" s="1084">
        <f t="shared" ca="1" si="14"/>
        <v>1178712.0299999998</v>
      </c>
      <c r="BD6" s="1083">
        <f t="shared" ca="1" si="14"/>
        <v>1178712.0299999998</v>
      </c>
      <c r="BE6" s="1083">
        <f t="shared" ca="1" si="14"/>
        <v>1178712.0299999998</v>
      </c>
      <c r="BF6" s="1083">
        <f t="shared" ca="1" si="14"/>
        <v>1178712.0299999998</v>
      </c>
      <c r="BG6" s="1083">
        <f t="shared" ca="1" si="14"/>
        <v>1178712.0299999998</v>
      </c>
      <c r="BH6" s="1032"/>
    </row>
    <row r="7" spans="1:60" s="75" customFormat="1" x14ac:dyDescent="0.25">
      <c r="A7" s="327" t="str">
        <f>INDEX(MO_BSS_Cash,0,COLUMN())</f>
        <v>Cash</v>
      </c>
      <c r="B7" s="328"/>
      <c r="C7" s="1086"/>
      <c r="D7" s="1086">
        <f t="shared" ref="D7:AI7" si="15">INDEX(MO_BSS_Cash,0,COLUMN())</f>
        <v>173.155</v>
      </c>
      <c r="E7" s="1086">
        <f t="shared" si="15"/>
        <v>303.803</v>
      </c>
      <c r="F7" s="1086">
        <f t="shared" si="15"/>
        <v>220.98399999999998</v>
      </c>
      <c r="G7" s="1087">
        <f t="shared" si="15"/>
        <v>231.136</v>
      </c>
      <c r="H7" s="1087">
        <f t="shared" si="15"/>
        <v>747.41899999999998</v>
      </c>
      <c r="I7" s="1087">
        <f t="shared" si="15"/>
        <v>796.38099999999997</v>
      </c>
      <c r="J7" s="1087">
        <f t="shared" si="15"/>
        <v>848.90099999999995</v>
      </c>
      <c r="K7" s="1086">
        <f t="shared" si="15"/>
        <v>848.90099999999995</v>
      </c>
      <c r="L7" s="1087">
        <f t="shared" si="15"/>
        <v>2584.0679999999998</v>
      </c>
      <c r="M7" s="1087">
        <f t="shared" si="15"/>
        <v>2686.6239999999998</v>
      </c>
      <c r="N7" s="1087">
        <f t="shared" si="15"/>
        <v>2388.0660000000003</v>
      </c>
      <c r="O7" s="1087">
        <f t="shared" si="15"/>
        <v>1923.6599999999999</v>
      </c>
      <c r="P7" s="1086">
        <f t="shared" si="15"/>
        <v>1923.6599999999999</v>
      </c>
      <c r="Q7" s="1087">
        <f t="shared" si="15"/>
        <v>1530.769</v>
      </c>
      <c r="R7" s="1087">
        <f t="shared" si="15"/>
        <v>1171.2639999999999</v>
      </c>
      <c r="S7" s="1087">
        <f t="shared" si="15"/>
        <v>1451.259</v>
      </c>
      <c r="T7" s="1087">
        <f t="shared" si="15"/>
        <v>1219.5359999999998</v>
      </c>
      <c r="U7" s="1086">
        <f t="shared" si="15"/>
        <v>1219.5359999999998</v>
      </c>
      <c r="V7" s="1087">
        <f t="shared" si="15"/>
        <v>1465.769</v>
      </c>
      <c r="W7" s="1087">
        <f t="shared" si="15"/>
        <v>3270.826</v>
      </c>
      <c r="X7" s="1087">
        <f t="shared" si="15"/>
        <v>3107.9679999999998</v>
      </c>
      <c r="Y7" s="1087">
        <f t="shared" si="15"/>
        <v>3498.7349999999997</v>
      </c>
      <c r="Z7" s="1086">
        <f t="shared" si="15"/>
        <v>3498.7349999999997</v>
      </c>
      <c r="AA7" s="1087">
        <f t="shared" si="15"/>
        <v>4095.5389999999998</v>
      </c>
      <c r="AB7" s="1087">
        <f t="shared" si="15"/>
        <v>3154.2930000000001</v>
      </c>
      <c r="AC7" s="1087">
        <f t="shared" si="15"/>
        <v>3668.2110000000002</v>
      </c>
      <c r="AD7" s="1087">
        <f t="shared" si="15"/>
        <v>3523.2370000000001</v>
      </c>
      <c r="AE7" s="1086">
        <f t="shared" si="15"/>
        <v>3523.2370000000001</v>
      </c>
      <c r="AF7" s="1087">
        <f t="shared" si="15"/>
        <v>2785.8669999999997</v>
      </c>
      <c r="AG7" s="1087">
        <f t="shared" si="15"/>
        <v>2383.2460000000001</v>
      </c>
      <c r="AH7" s="1087">
        <f t="shared" si="15"/>
        <v>3126.1309999999999</v>
      </c>
      <c r="AI7" s="1087">
        <f t="shared" si="15"/>
        <v>3878.1689999999999</v>
      </c>
      <c r="AJ7" s="1086">
        <f t="shared" ref="AJ7:AY7" si="16">INDEX(MO_BSS_Cash,0,COLUMN())</f>
        <v>3878.1689999999999</v>
      </c>
      <c r="AK7" s="1087">
        <f t="shared" si="16"/>
        <v>2329.1189999999997</v>
      </c>
      <c r="AL7" s="1087">
        <f t="shared" si="16"/>
        <v>5082.7460000000001</v>
      </c>
      <c r="AM7" s="1087">
        <f t="shared" si="16"/>
        <v>5571</v>
      </c>
      <c r="AN7" s="1087">
        <f t="shared" si="16"/>
        <v>6514</v>
      </c>
      <c r="AO7" s="1086">
        <f t="shared" si="16"/>
        <v>6514</v>
      </c>
      <c r="AP7" s="1087">
        <f t="shared" si="16"/>
        <v>8273</v>
      </c>
      <c r="AQ7" s="1087">
        <f t="shared" si="16"/>
        <v>8818</v>
      </c>
      <c r="AR7" s="1087">
        <f>INDEX(MO_BSS_Cash,0,COLUMN())</f>
        <v>14705</v>
      </c>
      <c r="AS7" s="1087">
        <f>INDEX(MO_BSS_Cash,0,COLUMN())</f>
        <v>19622</v>
      </c>
      <c r="AT7" s="1086">
        <f>INDEX(MO_BSS_Cash,0,COLUMN())</f>
        <v>19622</v>
      </c>
      <c r="AU7" s="1087">
        <f t="shared" si="16"/>
        <v>17446</v>
      </c>
      <c r="AV7" s="1087">
        <f>INDEX(MO_BSS_Cash,0,COLUMN())</f>
        <v>16555</v>
      </c>
      <c r="AW7" s="1088">
        <f>INDEX(MO_BSS_Cash,0,COLUMN())</f>
        <v>16422</v>
      </c>
      <c r="AX7" s="1087">
        <f t="shared" ca="1" si="16"/>
        <v>17582.070557489635</v>
      </c>
      <c r="AY7" s="1086">
        <f t="shared" ca="1" si="16"/>
        <v>17582.070557489635</v>
      </c>
      <c r="AZ7" s="1087">
        <f t="shared" ref="AZ7:BG7" ca="1" si="17">INDEX(MO_BSS_Cash,0,COLUMN())</f>
        <v>19895.031639973015</v>
      </c>
      <c r="BA7" s="1087">
        <f t="shared" ca="1" si="17"/>
        <v>22747.861954298995</v>
      </c>
      <c r="BB7" s="1087">
        <f t="shared" ca="1" si="17"/>
        <v>28411.823911835505</v>
      </c>
      <c r="BC7" s="1087">
        <f t="shared" ca="1" si="17"/>
        <v>31235.219126236723</v>
      </c>
      <c r="BD7" s="1086">
        <f t="shared" ca="1" si="17"/>
        <v>31235.219126236723</v>
      </c>
      <c r="BE7" s="1086">
        <f t="shared" ca="1" si="17"/>
        <v>43625.518503970656</v>
      </c>
      <c r="BF7" s="1086">
        <f t="shared" ca="1" si="17"/>
        <v>60204.834588945974</v>
      </c>
      <c r="BG7" s="1086">
        <f t="shared" ca="1" si="17"/>
        <v>81696.80515424606</v>
      </c>
      <c r="BH7" s="1030"/>
    </row>
    <row r="8" spans="1:60" s="75" customFormat="1" x14ac:dyDescent="0.25">
      <c r="A8" s="327" t="str">
        <f>INDEX(MO_BSS_Debt,0,COLUMN())</f>
        <v>Debt</v>
      </c>
      <c r="B8" s="328"/>
      <c r="C8" s="1086"/>
      <c r="D8" s="1086">
        <f t="shared" ref="D8:AI8" si="18">INDEX(MO_BSS_Debt,0,COLUMN())</f>
        <v>72.603000000000009</v>
      </c>
      <c r="E8" s="1086">
        <f t="shared" si="18"/>
        <v>280.14799999999997</v>
      </c>
      <c r="F8" s="1086">
        <f t="shared" si="18"/>
        <v>466.666</v>
      </c>
      <c r="G8" s="1087">
        <f t="shared" si="18"/>
        <v>455.53800000000001</v>
      </c>
      <c r="H8" s="1087">
        <f t="shared" si="18"/>
        <v>593.68399999999997</v>
      </c>
      <c r="I8" s="1087">
        <f t="shared" si="18"/>
        <v>676.90200000000004</v>
      </c>
      <c r="J8" s="1087">
        <f t="shared" si="18"/>
        <v>606.87800000000004</v>
      </c>
      <c r="K8" s="1086">
        <f t="shared" si="18"/>
        <v>606.87800000000004</v>
      </c>
      <c r="L8" s="1087">
        <f t="shared" si="18"/>
        <v>2200.7530000000002</v>
      </c>
      <c r="M8" s="1087">
        <f t="shared" si="18"/>
        <v>2450.6179999999999</v>
      </c>
      <c r="N8" s="1087">
        <f t="shared" si="18"/>
        <v>2468.8200000000002</v>
      </c>
      <c r="O8" s="1087">
        <f t="shared" si="18"/>
        <v>2488.08</v>
      </c>
      <c r="P8" s="1086">
        <f t="shared" si="18"/>
        <v>2488.08</v>
      </c>
      <c r="Q8" s="1087">
        <f t="shared" si="18"/>
        <v>2584.5460000000003</v>
      </c>
      <c r="R8" s="1087">
        <f t="shared" si="18"/>
        <v>2687.8910000000001</v>
      </c>
      <c r="S8" s="1087">
        <f t="shared" si="18"/>
        <v>2679.384</v>
      </c>
      <c r="T8" s="1087">
        <f t="shared" si="18"/>
        <v>2715.5860000000002</v>
      </c>
      <c r="U8" s="1086">
        <f t="shared" si="18"/>
        <v>2715.5860000000002</v>
      </c>
      <c r="V8" s="1087">
        <f t="shared" si="18"/>
        <v>3162.2400000000002</v>
      </c>
      <c r="W8" s="1087">
        <f t="shared" si="18"/>
        <v>3283.9740000000002</v>
      </c>
      <c r="X8" s="1087">
        <f t="shared" si="18"/>
        <v>2715.4610000000002</v>
      </c>
      <c r="Y8" s="1087">
        <f t="shared" si="18"/>
        <v>7128.4309999999996</v>
      </c>
      <c r="Z8" s="1086">
        <f t="shared" si="18"/>
        <v>7128.4309999999996</v>
      </c>
      <c r="AA8" s="1087">
        <f t="shared" si="18"/>
        <v>8169.45</v>
      </c>
      <c r="AB8" s="1087">
        <f t="shared" si="18"/>
        <v>7943.527000000001</v>
      </c>
      <c r="AC8" s="1087">
        <f t="shared" si="18"/>
        <v>10008.678</v>
      </c>
      <c r="AD8" s="1087">
        <f t="shared" si="18"/>
        <v>10314.838</v>
      </c>
      <c r="AE8" s="1086">
        <f t="shared" si="18"/>
        <v>10314.838</v>
      </c>
      <c r="AF8" s="1087">
        <f t="shared" si="18"/>
        <v>10761.658000000001</v>
      </c>
      <c r="AG8" s="1087">
        <f t="shared" si="18"/>
        <v>11616.474999999999</v>
      </c>
      <c r="AH8" s="1087">
        <f t="shared" si="18"/>
        <v>11779.051000000001</v>
      </c>
      <c r="AI8" s="1087">
        <f t="shared" si="18"/>
        <v>11971.371000000001</v>
      </c>
      <c r="AJ8" s="1086">
        <f t="shared" ref="AJ8:AY8" si="19">INDEX(MO_BSS_Debt,0,COLUMN())</f>
        <v>11971.371000000001</v>
      </c>
      <c r="AK8" s="1087">
        <f t="shared" si="19"/>
        <v>11493.661</v>
      </c>
      <c r="AL8" s="1087">
        <f t="shared" si="19"/>
        <v>13025.486000000001</v>
      </c>
      <c r="AM8" s="1087">
        <f t="shared" si="19"/>
        <v>13343</v>
      </c>
      <c r="AN8" s="1087">
        <f t="shared" si="19"/>
        <v>13419</v>
      </c>
      <c r="AO8" s="1086">
        <f t="shared" si="19"/>
        <v>13419</v>
      </c>
      <c r="AP8" s="1087">
        <f t="shared" si="19"/>
        <v>13943</v>
      </c>
      <c r="AQ8" s="1087">
        <f t="shared" si="19"/>
        <v>14139</v>
      </c>
      <c r="AR8" s="1087">
        <f>INDEX(MO_BSS_Debt,0,COLUMN())</f>
        <v>13733</v>
      </c>
      <c r="AS8" s="1087">
        <f>INDEX(MO_BSS_Debt,0,COLUMN())</f>
        <v>11739</v>
      </c>
      <c r="AT8" s="1086">
        <f>INDEX(MO_BSS_Debt,0,COLUMN())</f>
        <v>11739</v>
      </c>
      <c r="AU8" s="1087">
        <f t="shared" si="19"/>
        <v>10872</v>
      </c>
      <c r="AV8" s="1087">
        <f>INDEX(MO_BSS_Debt,0,COLUMN())</f>
        <v>9401</v>
      </c>
      <c r="AW8" s="1088">
        <f>INDEX(MO_BSS_Debt,0,COLUMN())</f>
        <v>8154</v>
      </c>
      <c r="AX8" s="1087">
        <f t="shared" si="19"/>
        <v>8154</v>
      </c>
      <c r="AY8" s="1086">
        <f t="shared" si="19"/>
        <v>8154</v>
      </c>
      <c r="AZ8" s="1087">
        <f t="shared" ref="AZ8:BG8" si="20">INDEX(MO_BSS_Debt,0,COLUMN())</f>
        <v>8154</v>
      </c>
      <c r="BA8" s="1087">
        <f t="shared" si="20"/>
        <v>8154</v>
      </c>
      <c r="BB8" s="1087">
        <f t="shared" si="20"/>
        <v>8154</v>
      </c>
      <c r="BC8" s="1087">
        <f t="shared" si="20"/>
        <v>8154</v>
      </c>
      <c r="BD8" s="1086">
        <f t="shared" si="20"/>
        <v>8154</v>
      </c>
      <c r="BE8" s="1086">
        <f t="shared" si="20"/>
        <v>8154</v>
      </c>
      <c r="BF8" s="1086">
        <f t="shared" si="20"/>
        <v>8154</v>
      </c>
      <c r="BG8" s="1086">
        <f t="shared" si="20"/>
        <v>8154</v>
      </c>
      <c r="BH8" s="1030"/>
    </row>
    <row r="9" spans="1:60" s="75" customFormat="1" x14ac:dyDescent="0.25">
      <c r="A9" s="490" t="s">
        <v>169</v>
      </c>
      <c r="B9" s="491"/>
      <c r="C9" s="1080"/>
      <c r="D9" s="1080">
        <f t="shared" ref="D9:AI9" si="21">INDEX(MO_VA_EVCalc_NCI,0,COLUMN())+INDEX(MO_VA_EVCalc_Prefs,0,COLUMN())+INDEX(MO_VA_EVCalc_Other,0,COLUMN())</f>
        <v>6.0880000000000001</v>
      </c>
      <c r="E9" s="1080">
        <f t="shared" si="21"/>
        <v>8.8379999999999992</v>
      </c>
      <c r="F9" s="1080">
        <f t="shared" si="21"/>
        <v>10.692</v>
      </c>
      <c r="G9" s="1081">
        <f t="shared" si="21"/>
        <v>0</v>
      </c>
      <c r="H9" s="1081">
        <f t="shared" si="21"/>
        <v>0</v>
      </c>
      <c r="I9" s="1081">
        <f t="shared" si="21"/>
        <v>0</v>
      </c>
      <c r="J9" s="1081">
        <f t="shared" si="21"/>
        <v>0</v>
      </c>
      <c r="K9" s="1080">
        <f t="shared" si="21"/>
        <v>0</v>
      </c>
      <c r="L9" s="1081">
        <f t="shared" si="21"/>
        <v>0</v>
      </c>
      <c r="M9" s="1081">
        <f t="shared" si="21"/>
        <v>0</v>
      </c>
      <c r="N9" s="1081">
        <f t="shared" si="21"/>
        <v>0</v>
      </c>
      <c r="O9" s="1081">
        <f t="shared" si="21"/>
        <v>0</v>
      </c>
      <c r="P9" s="1080">
        <f t="shared" si="21"/>
        <v>0</v>
      </c>
      <c r="Q9" s="1081">
        <f t="shared" si="21"/>
        <v>0</v>
      </c>
      <c r="R9" s="1081">
        <f t="shared" si="21"/>
        <v>0</v>
      </c>
      <c r="S9" s="1081">
        <f t="shared" si="21"/>
        <v>0</v>
      </c>
      <c r="T9" s="1081">
        <f t="shared" si="21"/>
        <v>0</v>
      </c>
      <c r="U9" s="1080">
        <f t="shared" si="21"/>
        <v>0</v>
      </c>
      <c r="V9" s="1081">
        <f t="shared" si="21"/>
        <v>0</v>
      </c>
      <c r="W9" s="1081">
        <f t="shared" si="21"/>
        <v>0</v>
      </c>
      <c r="X9" s="1081">
        <f t="shared" si="21"/>
        <v>0</v>
      </c>
      <c r="Y9" s="1081">
        <f t="shared" si="21"/>
        <v>1152.2139999999999</v>
      </c>
      <c r="Z9" s="1080">
        <f t="shared" si="21"/>
        <v>1152.2139999999999</v>
      </c>
      <c r="AA9" s="1081">
        <f t="shared" si="21"/>
        <v>1173.3710000000001</v>
      </c>
      <c r="AB9" s="1081">
        <f t="shared" si="21"/>
        <v>1476.3630000000001</v>
      </c>
      <c r="AC9" s="1081">
        <f t="shared" si="21"/>
        <v>1466.18</v>
      </c>
      <c r="AD9" s="1081">
        <f t="shared" si="21"/>
        <v>1395.08</v>
      </c>
      <c r="AE9" s="1080">
        <f t="shared" si="21"/>
        <v>1395.08</v>
      </c>
      <c r="AF9" s="1081">
        <f t="shared" si="21"/>
        <v>1269.711</v>
      </c>
      <c r="AG9" s="1081">
        <f t="shared" si="21"/>
        <v>1360.692</v>
      </c>
      <c r="AH9" s="1081">
        <f t="shared" si="21"/>
        <v>1344.731</v>
      </c>
      <c r="AI9" s="1081">
        <f t="shared" si="21"/>
        <v>1390.3610000000001</v>
      </c>
      <c r="AJ9" s="1080">
        <f t="shared" ref="AJ9:AY9" si="22">INDEX(MO_VA_EVCalc_NCI,0,COLUMN())+INDEX(MO_VA_EVCalc_Prefs,0,COLUMN())+INDEX(MO_VA_EVCalc_Other,0,COLUMN())</f>
        <v>1390.3610000000001</v>
      </c>
      <c r="AK9" s="1081">
        <f t="shared" si="22"/>
        <v>1432.31</v>
      </c>
      <c r="AL9" s="1081">
        <f t="shared" si="22"/>
        <v>1435.068</v>
      </c>
      <c r="AM9" s="1081">
        <f t="shared" si="22"/>
        <v>1442</v>
      </c>
      <c r="AN9" s="1081">
        <f t="shared" si="22"/>
        <v>1492</v>
      </c>
      <c r="AO9" s="1080">
        <f t="shared" si="22"/>
        <v>1492</v>
      </c>
      <c r="AP9" s="1081">
        <f t="shared" si="22"/>
        <v>1499</v>
      </c>
      <c r="AQ9" s="1081">
        <f t="shared" si="22"/>
        <v>1482</v>
      </c>
      <c r="AR9" s="1081">
        <f>INDEX(MO_VA_EVCalc_NCI,0,COLUMN())+INDEX(MO_VA_EVCalc_Prefs,0,COLUMN())+INDEX(MO_VA_EVCalc_Other,0,COLUMN())</f>
        <v>1469</v>
      </c>
      <c r="AS9" s="1081">
        <f>INDEX(MO_VA_EVCalc_NCI,0,COLUMN())+INDEX(MO_VA_EVCalc_Prefs,0,COLUMN())+INDEX(MO_VA_EVCalc_Other,0,COLUMN())</f>
        <v>1454</v>
      </c>
      <c r="AT9" s="1080">
        <f>INDEX(MO_VA_EVCalc_NCI,0,COLUMN())+INDEX(MO_VA_EVCalc_Prefs,0,COLUMN())+INDEX(MO_VA_EVCalc_Other,0,COLUMN())</f>
        <v>1454</v>
      </c>
      <c r="AU9" s="1081">
        <f t="shared" si="22"/>
        <v>1448</v>
      </c>
      <c r="AV9" s="1081">
        <f>INDEX(MO_VA_EVCalc_NCI,0,COLUMN())+INDEX(MO_VA_EVCalc_Prefs,0,COLUMN())+INDEX(MO_VA_EVCalc_Other,0,COLUMN())</f>
        <v>1446</v>
      </c>
      <c r="AW9" s="1082">
        <f>INDEX(MO_VA_EVCalc_NCI,0,COLUMN())+INDEX(MO_VA_EVCalc_Prefs,0,COLUMN())+INDEX(MO_VA_EVCalc_Other,0,COLUMN())</f>
        <v>1441</v>
      </c>
      <c r="AX9" s="1081">
        <f t="shared" si="22"/>
        <v>1451</v>
      </c>
      <c r="AY9" s="1080">
        <f t="shared" si="22"/>
        <v>1451</v>
      </c>
      <c r="AZ9" s="1081">
        <f t="shared" ref="AZ9:BG9" si="23">INDEX(MO_VA_EVCalc_NCI,0,COLUMN())+INDEX(MO_VA_EVCalc_Prefs,0,COLUMN())+INDEX(MO_VA_EVCalc_Other,0,COLUMN())</f>
        <v>1461</v>
      </c>
      <c r="BA9" s="1081">
        <f t="shared" si="23"/>
        <v>1471</v>
      </c>
      <c r="BB9" s="1081">
        <f t="shared" si="23"/>
        <v>1481</v>
      </c>
      <c r="BC9" s="1081">
        <f t="shared" si="23"/>
        <v>1491</v>
      </c>
      <c r="BD9" s="1080">
        <f t="shared" si="23"/>
        <v>1491</v>
      </c>
      <c r="BE9" s="1080">
        <f t="shared" si="23"/>
        <v>1531</v>
      </c>
      <c r="BF9" s="1080">
        <f t="shared" si="23"/>
        <v>1571</v>
      </c>
      <c r="BG9" s="1080">
        <f t="shared" si="23"/>
        <v>1611</v>
      </c>
      <c r="BH9" s="1030"/>
    </row>
    <row r="10" spans="1:60" s="76" customFormat="1" x14ac:dyDescent="0.25">
      <c r="A10" s="329" t="str">
        <f>"Enterprise Value - "&amp;SP.ValuationToggle</f>
        <v>Enterprise Value - Avg</v>
      </c>
      <c r="B10" s="330"/>
      <c r="C10" s="1083"/>
      <c r="D10" s="1083">
        <f t="shared" ref="D10:AI10" ca="1" si="24">INDEX(SP_CS_MarketCap,0,COLUMN())-INDEX(SP_CS_Cash,0,COLUMN())+INDEX(SP_CS_Debt,0,COLUMN())+INDEX(SP_CS_EVCalc_Other,0,COLUMN())</f>
        <v>1089.3885602157525</v>
      </c>
      <c r="E10" s="1083">
        <f t="shared" ca="1" si="24"/>
        <v>2676.0810640595228</v>
      </c>
      <c r="F10" s="1083">
        <f t="shared" ca="1" si="24"/>
        <v>3602.3021322060004</v>
      </c>
      <c r="G10" s="1084">
        <f t="shared" ca="1" si="24"/>
        <v>4759.6916512420012</v>
      </c>
      <c r="H10" s="1084">
        <f t="shared" ca="1" si="24"/>
        <v>9669.8242886015596</v>
      </c>
      <c r="I10" s="1084">
        <f t="shared" ca="1" si="24"/>
        <v>20231.202790406249</v>
      </c>
      <c r="J10" s="1084">
        <f t="shared" ca="1" si="24"/>
        <v>20864.666620624997</v>
      </c>
      <c r="K10" s="1083">
        <f t="shared" ca="1" si="24"/>
        <v>13700.361965861104</v>
      </c>
      <c r="L10" s="1084">
        <f t="shared" ca="1" si="24"/>
        <v>27788.715980491761</v>
      </c>
      <c r="M10" s="1084">
        <f t="shared" ca="1" si="24"/>
        <v>29251.270914222252</v>
      </c>
      <c r="N10" s="1084">
        <f t="shared" ca="1" si="24"/>
        <v>35414.818541015629</v>
      </c>
      <c r="O10" s="1084">
        <f t="shared" ca="1" si="24"/>
        <v>29980.544230781255</v>
      </c>
      <c r="P10" s="1083">
        <f t="shared" ca="1" si="24"/>
        <v>32326.501610166655</v>
      </c>
      <c r="Q10" s="1084">
        <f t="shared" ca="1" si="24"/>
        <v>26556.330794918038</v>
      </c>
      <c r="R10" s="1084">
        <f t="shared" ca="1" si="24"/>
        <v>31564.545254942841</v>
      </c>
      <c r="S10" s="1084">
        <f t="shared" ca="1" si="24"/>
        <v>34108.085791875004</v>
      </c>
      <c r="T10" s="1084">
        <f t="shared" ca="1" si="24"/>
        <v>30921.936624999998</v>
      </c>
      <c r="U10" s="1083">
        <f t="shared" ca="1" si="24"/>
        <v>30987.9891092857</v>
      </c>
      <c r="V10" s="1084">
        <f t="shared" ca="1" si="24"/>
        <v>27873.48930032787</v>
      </c>
      <c r="W10" s="1084">
        <f t="shared" ca="1" si="24"/>
        <v>31828.462367656248</v>
      </c>
      <c r="X10" s="1084">
        <f t="shared" ca="1" si="24"/>
        <v>31875.33522421875</v>
      </c>
      <c r="Y10" s="1084">
        <f t="shared" ca="1" si="24"/>
        <v>35341.987975873039</v>
      </c>
      <c r="Z10" s="1083">
        <f t="shared" ca="1" si="24"/>
        <v>35032.866373809535</v>
      </c>
      <c r="AA10" s="1084">
        <f t="shared" ca="1" si="24"/>
        <v>46392.798017419387</v>
      </c>
      <c r="AB10" s="1084">
        <f t="shared" ca="1" si="24"/>
        <v>60816.02943555556</v>
      </c>
      <c r="AC10" s="1084">
        <f t="shared" ca="1" si="24"/>
        <v>65704.63082190475</v>
      </c>
      <c r="AD10" s="1084">
        <f t="shared" ca="1" si="24"/>
        <v>63099.470814603177</v>
      </c>
      <c r="AE10" s="1083">
        <f t="shared" ca="1" si="24"/>
        <v>60287.121396892413</v>
      </c>
      <c r="AF10" s="1084">
        <f t="shared" ca="1" si="24"/>
        <v>65051.66154245902</v>
      </c>
      <c r="AG10" s="1084">
        <f t="shared" ca="1" si="24"/>
        <v>62415.341644453132</v>
      </c>
      <c r="AH10" s="1084">
        <f t="shared" ca="1" si="24"/>
        <v>65668.938193015914</v>
      </c>
      <c r="AI10" s="1084">
        <f t="shared" ca="1" si="24"/>
        <v>67247.339114127055</v>
      </c>
      <c r="AJ10" s="1083">
        <f t="shared" ref="AJ10:AY10" ca="1" si="25">INDEX(SP_CS_MarketCap,0,COLUMN())-INDEX(SP_CS_Cash,0,COLUMN())+INDEX(SP_CS_Debt,0,COLUMN())+INDEX(SP_CS_EVCalc_Other,0,COLUMN())</f>
        <v>63592.826971613555</v>
      </c>
      <c r="AK10" s="1084">
        <f t="shared" ca="1" si="25"/>
        <v>62686.732502950836</v>
      </c>
      <c r="AL10" s="1084">
        <f t="shared" ca="1" si="25"/>
        <v>50619.058275555595</v>
      </c>
      <c r="AM10" s="1084">
        <f t="shared" ca="1" si="25"/>
        <v>52424.962500000001</v>
      </c>
      <c r="AN10" s="1084">
        <f t="shared" ca="1" si="25"/>
        <v>69241.39453125</v>
      </c>
      <c r="AO10" s="1083">
        <f t="shared" ca="1" si="25"/>
        <v>56811.845119047546</v>
      </c>
      <c r="AP10" s="1084">
        <f t="shared" ca="1" si="25"/>
        <v>130913.49096774177</v>
      </c>
      <c r="AQ10" s="1084">
        <f t="shared" ca="1" si="25"/>
        <v>174775.3185714283</v>
      </c>
      <c r="AR10" s="1084">
        <f ca="1">INDEX(SP_CS_MarketCap,0,COLUMN())-INDEX(SP_CS_Cash,0,COLUMN())+INDEX(SP_CS_Debt,0,COLUMN())+INDEX(SP_CS_EVCalc_Other,0,COLUMN())</f>
        <v>391896.18390624999</v>
      </c>
      <c r="AS10" s="1084">
        <f ca="1">INDEX(SP_CS_MarketCap,0,COLUMN())-INDEX(SP_CS_Cash,0,COLUMN())+INDEX(SP_CS_Debt,0,COLUMN())+INDEX(SP_CS_EVCalc_Other,0,COLUMN())</f>
        <v>569004.02937499993</v>
      </c>
      <c r="AT10" s="1083">
        <f ca="1">INDEX(SP_CS_MarketCap,0,COLUMN())-INDEX(SP_CS_Cash,0,COLUMN())+INDEX(SP_CS_Debt,0,COLUMN())+INDEX(SP_CS_EVCalc_Other,0,COLUMN())</f>
        <v>307637.82377075113</v>
      </c>
      <c r="AU10" s="1084">
        <f t="shared" ca="1" si="25"/>
        <v>848233.62655737682</v>
      </c>
      <c r="AV10" s="1084">
        <f ca="1">INDEX(SP_CS_MarketCap,0,COLUMN())-INDEX(SP_CS_Cash,0,COLUMN())+INDEX(SP_CS_Debt,0,COLUMN())+INDEX(SP_CS_EVCalc_Other,0,COLUMN())</f>
        <v>723049.98619047634</v>
      </c>
      <c r="AW10" s="1085">
        <f ca="1">INDEX(SP_CS_MarketCap,0,COLUMN())-INDEX(SP_CS_Cash,0,COLUMN())+INDEX(SP_CS_Debt,0,COLUMN())+INDEX(SP_CS_EVCalc_Other,0,COLUMN())</f>
        <v>786308.24406250007</v>
      </c>
      <c r="AX10" s="1084">
        <f t="shared" ca="1" si="25"/>
        <v>1170734.9594425103</v>
      </c>
      <c r="AY10" s="1083">
        <f t="shared" ca="1" si="25"/>
        <v>1172309.3744425103</v>
      </c>
      <c r="AZ10" s="1084">
        <f t="shared" ref="AZ10:BG10" ca="1" si="26">INDEX(SP_CS_MarketCap,0,COLUMN())-INDEX(SP_CS_Cash,0,COLUMN())+INDEX(SP_CS_Debt,0,COLUMN())+INDEX(SP_CS_EVCalc_Other,0,COLUMN())</f>
        <v>1168431.9983600269</v>
      </c>
      <c r="BA10" s="1084">
        <f t="shared" ca="1" si="26"/>
        <v>1165589.1680457008</v>
      </c>
      <c r="BB10" s="1084">
        <f t="shared" ca="1" si="26"/>
        <v>1159935.2060881644</v>
      </c>
      <c r="BC10" s="1084">
        <f t="shared" ca="1" si="26"/>
        <v>1157121.8108737632</v>
      </c>
      <c r="BD10" s="1083">
        <f t="shared" ca="1" si="26"/>
        <v>1157121.8108737632</v>
      </c>
      <c r="BE10" s="1083">
        <f t="shared" ca="1" si="26"/>
        <v>1144771.5114960291</v>
      </c>
      <c r="BF10" s="1083">
        <f t="shared" ca="1" si="26"/>
        <v>1128232.1954110537</v>
      </c>
      <c r="BG10" s="1083">
        <f t="shared" ca="1" si="26"/>
        <v>1106780.2248457537</v>
      </c>
      <c r="BH10" s="1032"/>
    </row>
    <row r="11" spans="1:60" s="76" customFormat="1" x14ac:dyDescent="0.25">
      <c r="A11" s="326"/>
      <c r="B11" s="331"/>
      <c r="C11" s="1089"/>
      <c r="D11" s="1089"/>
      <c r="E11" s="1089"/>
      <c r="F11" s="1089"/>
      <c r="G11" s="1090"/>
      <c r="H11" s="1090"/>
      <c r="I11" s="1090"/>
      <c r="J11" s="1090"/>
      <c r="K11" s="1089"/>
      <c r="L11" s="1090"/>
      <c r="M11" s="1090"/>
      <c r="N11" s="1090"/>
      <c r="O11" s="1090"/>
      <c r="P11" s="1089"/>
      <c r="Q11" s="1090"/>
      <c r="R11" s="1090"/>
      <c r="S11" s="1090"/>
      <c r="T11" s="1090"/>
      <c r="U11" s="1089"/>
      <c r="V11" s="1090"/>
      <c r="W11" s="1090"/>
      <c r="X11" s="1090"/>
      <c r="Y11" s="1090"/>
      <c r="Z11" s="1089"/>
      <c r="AA11" s="1090"/>
      <c r="AB11" s="1090"/>
      <c r="AC11" s="1090"/>
      <c r="AD11" s="1090"/>
      <c r="AE11" s="1089"/>
      <c r="AF11" s="1090"/>
      <c r="AG11" s="1090"/>
      <c r="AH11" s="1090"/>
      <c r="AI11" s="1090"/>
      <c r="AJ11" s="1089"/>
      <c r="AK11" s="1090"/>
      <c r="AL11" s="1090"/>
      <c r="AM11" s="1090"/>
      <c r="AN11" s="1090"/>
      <c r="AO11" s="1089"/>
      <c r="AP11" s="1090"/>
      <c r="AQ11" s="1090"/>
      <c r="AR11" s="1090"/>
      <c r="AS11" s="1090"/>
      <c r="AT11" s="1089"/>
      <c r="AU11" s="1090"/>
      <c r="AV11" s="1090"/>
      <c r="AW11" s="1091"/>
      <c r="AX11" s="1090"/>
      <c r="AY11" s="1089"/>
      <c r="AZ11" s="1090"/>
      <c r="BA11" s="1090"/>
      <c r="BB11" s="1090"/>
      <c r="BC11" s="1090"/>
      <c r="BD11" s="1089"/>
      <c r="BE11" s="1089"/>
      <c r="BF11" s="1089"/>
      <c r="BG11" s="1089"/>
      <c r="BH11" s="1032"/>
    </row>
    <row r="12" spans="1:60" x14ac:dyDescent="0.25">
      <c r="A12" s="196" t="s">
        <v>383</v>
      </c>
      <c r="B12" s="1033"/>
      <c r="C12" s="1092"/>
      <c r="D12" s="1092"/>
      <c r="E12" s="1092"/>
      <c r="F12" s="1092"/>
      <c r="G12" s="1092"/>
      <c r="H12" s="1092"/>
      <c r="I12" s="1092"/>
      <c r="J12" s="1092"/>
      <c r="K12" s="1092"/>
      <c r="L12" s="1092"/>
      <c r="M12" s="1092"/>
      <c r="N12" s="1092"/>
      <c r="O12" s="1092"/>
      <c r="P12" s="1092"/>
      <c r="Q12" s="1092"/>
      <c r="R12" s="1092"/>
      <c r="S12" s="1092"/>
      <c r="T12" s="1092"/>
      <c r="U12" s="1092"/>
      <c r="V12" s="1092"/>
      <c r="W12" s="1092"/>
      <c r="X12" s="1092"/>
      <c r="Y12" s="1092"/>
      <c r="Z12" s="1092"/>
      <c r="AA12" s="1092"/>
      <c r="AB12" s="1092"/>
      <c r="AC12" s="1092"/>
      <c r="AD12" s="1092"/>
      <c r="AE12" s="1092"/>
      <c r="AF12" s="1092"/>
      <c r="AG12" s="1092"/>
      <c r="AH12" s="1092"/>
      <c r="AI12" s="1092"/>
      <c r="AJ12" s="1092"/>
      <c r="AK12" s="1092"/>
      <c r="AL12" s="1092"/>
      <c r="AM12" s="1092"/>
      <c r="AN12" s="1092"/>
      <c r="AO12" s="1092"/>
      <c r="AP12" s="1092"/>
      <c r="AQ12" s="1092"/>
      <c r="AR12" s="1092"/>
      <c r="AS12" s="1092"/>
      <c r="AT12" s="1092"/>
      <c r="AU12" s="1092"/>
      <c r="AV12" s="1092"/>
      <c r="AW12" s="1093"/>
      <c r="AX12" s="1092"/>
      <c r="AY12" s="1092"/>
      <c r="AZ12" s="1092"/>
      <c r="BA12" s="1092"/>
      <c r="BB12" s="1092"/>
      <c r="BC12" s="1092"/>
      <c r="BD12" s="1092"/>
      <c r="BE12" s="1092"/>
      <c r="BF12" s="1092"/>
      <c r="BG12" s="1092"/>
      <c r="BH12" s="1030"/>
    </row>
    <row r="13" spans="1:60" s="77" customFormat="1" x14ac:dyDescent="0.25">
      <c r="A13" s="332" t="str">
        <f>Model!A127</f>
        <v>Y/Y Automotive revenue growth, %</v>
      </c>
      <c r="B13" s="333"/>
      <c r="C13" s="131"/>
      <c r="D13" s="131">
        <f>Model!D127</f>
        <v>-0.132790795315473</v>
      </c>
      <c r="E13" s="131">
        <f>Model!E127</f>
        <v>0.53039823646964313</v>
      </c>
      <c r="F13" s="131">
        <f>Model!F127</f>
        <v>1.5961108717893491</v>
      </c>
      <c r="G13" s="132">
        <f>Model!G127</f>
        <v>0</v>
      </c>
      <c r="H13" s="132">
        <f>Model!H127</f>
        <v>0</v>
      </c>
      <c r="I13" s="132">
        <f>Model!I127</f>
        <v>0</v>
      </c>
      <c r="J13" s="132">
        <f>Model!J127</f>
        <v>0</v>
      </c>
      <c r="K13" s="131">
        <f>Model!K127</f>
        <v>4.1796504528142409</v>
      </c>
      <c r="L13" s="132">
        <f>Model!L127</f>
        <v>6.0640882704164012E-2</v>
      </c>
      <c r="M13" s="132">
        <f>Model!M127</f>
        <v>0.81261658385943925</v>
      </c>
      <c r="N13" s="132">
        <f>Model!N127</f>
        <v>0.85941989232814797</v>
      </c>
      <c r="O13" s="132">
        <f>Model!O127</f>
        <v>0.457629671344286</v>
      </c>
      <c r="P13" s="131">
        <f>Model!P127</f>
        <v>0.50517222565379871</v>
      </c>
      <c r="Q13" s="132">
        <f>Model!Q127</f>
        <v>0.51700457315778858</v>
      </c>
      <c r="R13" s="132">
        <f>Model!R127</f>
        <v>0.20645096581752043</v>
      </c>
      <c r="S13" s="132">
        <f>Model!S127</f>
        <v>6.5806991992899189E-2</v>
      </c>
      <c r="T13" s="132">
        <f>Model!T127</f>
        <v>0.25450698340962918</v>
      </c>
      <c r="U13" s="131">
        <f>Model!U127</f>
        <v>0.24408316295378918</v>
      </c>
      <c r="V13" s="132">
        <f>Model!V127</f>
        <v>0.14859624770518964</v>
      </c>
      <c r="W13" s="132">
        <f>Model!W127</f>
        <v>0.34593492694370731</v>
      </c>
      <c r="X13" s="132">
        <f>Model!X127</f>
        <v>1.2490537267390374</v>
      </c>
      <c r="Y13" s="132">
        <f>Model!Y127</f>
        <v>0.55723951842780006</v>
      </c>
      <c r="Z13" s="131">
        <f>Model!Z127</f>
        <v>0.49399821917987641</v>
      </c>
      <c r="AA13" s="132">
        <f>Model!AA127</f>
        <v>0.98336556004303799</v>
      </c>
      <c r="AB13" s="132">
        <f>Model!AB127</f>
        <v>0.70397985534567775</v>
      </c>
      <c r="AC13" s="132">
        <f>Model!AC127</f>
        <v>8.3073699230537423E-2</v>
      </c>
      <c r="AD13" s="132">
        <f>Model!AD127</f>
        <v>0.38498398055936089</v>
      </c>
      <c r="AE13" s="131">
        <f>Model!AE127</f>
        <v>0.52706053150407595</v>
      </c>
      <c r="AF13" s="132">
        <f>Model!AF127</f>
        <v>0.25887246567668787</v>
      </c>
      <c r="AG13" s="132">
        <f>Model!AG127</f>
        <v>0.54820960030826504</v>
      </c>
      <c r="AH13" s="132">
        <f>Model!AH127</f>
        <v>1.8305567740838846</v>
      </c>
      <c r="AI13" s="132">
        <f>Model!AI127</f>
        <v>1.5210445023450569</v>
      </c>
      <c r="AJ13" s="131">
        <f>Model!AJ127</f>
        <v>1.0658505367232691</v>
      </c>
      <c r="AK13" s="132">
        <f>Model!AK127</f>
        <v>0.36959562134228707</v>
      </c>
      <c r="AL13" s="132">
        <f>Model!AL127</f>
        <v>0.65755316538721198</v>
      </c>
      <c r="AM13" s="132">
        <f>Model!AM127</f>
        <v>-0.12695921698516843</v>
      </c>
      <c r="AN13" s="132">
        <f>Model!AN127</f>
        <v>1.1486183106826697E-2</v>
      </c>
      <c r="AO13" s="131">
        <f>Model!AO127</f>
        <v>0.13160962507944607</v>
      </c>
      <c r="AP13" s="132">
        <f>Model!AP127</f>
        <v>0.39451729266993496</v>
      </c>
      <c r="AQ13" s="132">
        <f>Model!AQ127</f>
        <v>-4.9734066791833675E-2</v>
      </c>
      <c r="AR13" s="132">
        <f>Model!AR127</f>
        <v>0.43141075604053003</v>
      </c>
      <c r="AS13" s="132">
        <f>Model!AS127</f>
        <v>0.47056142434471004</v>
      </c>
      <c r="AT13" s="131">
        <f>Model!AT127</f>
        <v>0.31234963913392133</v>
      </c>
      <c r="AU13" s="132">
        <f>Model!AU127</f>
        <v>0.77907214387901091</v>
      </c>
      <c r="AV13" s="132">
        <f>Model!AV127</f>
        <v>1.0105884748523724</v>
      </c>
      <c r="AW13" s="759">
        <f>Model!AW127</f>
        <v>0.58889191396678475</v>
      </c>
      <c r="AX13" s="132">
        <f>Model!AX127</f>
        <v>0.59741851711107907</v>
      </c>
      <c r="AY13" s="131">
        <f>Model!AY127</f>
        <v>0.70646497416672371</v>
      </c>
      <c r="AZ13" s="132">
        <f>Model!AZ127</f>
        <v>1.1288137277552188</v>
      </c>
      <c r="BA13" s="132">
        <f>Model!BA127</f>
        <v>1.1819624518466978</v>
      </c>
      <c r="BB13" s="132">
        <f>Model!BB127</f>
        <v>1.2076833441926058</v>
      </c>
      <c r="BC13" s="132">
        <f>Model!BC127</f>
        <v>1.0061268762779743</v>
      </c>
      <c r="BD13" s="131">
        <f>Model!BD127</f>
        <v>1.1215368289395413</v>
      </c>
      <c r="BE13" s="131">
        <f>Model!BE127</f>
        <v>0.2061972421931848</v>
      </c>
      <c r="BF13" s="131">
        <f>Model!BF127</f>
        <v>0.20531720857553326</v>
      </c>
      <c r="BG13" s="131">
        <f>Model!BG127</f>
        <v>0.2054080037594932</v>
      </c>
      <c r="BH13" s="299"/>
    </row>
    <row r="14" spans="1:60" s="77" customFormat="1" x14ac:dyDescent="0.25">
      <c r="A14" s="332" t="str">
        <f>Model!A169</f>
        <v>Y/Y Automotive leasing revenue growth, %</v>
      </c>
      <c r="B14" s="333"/>
      <c r="C14" s="131"/>
      <c r="D14" s="131">
        <f>Model!D169</f>
        <v>0</v>
      </c>
      <c r="E14" s="131">
        <f>Model!E169</f>
        <v>0</v>
      </c>
      <c r="F14" s="131">
        <f>Model!F169</f>
        <v>0</v>
      </c>
      <c r="G14" s="132">
        <f>Model!G169</f>
        <v>0</v>
      </c>
      <c r="H14" s="132">
        <f>Model!H169</f>
        <v>0</v>
      </c>
      <c r="I14" s="132">
        <f>Model!I169</f>
        <v>0</v>
      </c>
      <c r="J14" s="132">
        <f>Model!J169</f>
        <v>0</v>
      </c>
      <c r="K14" s="131">
        <f>Model!K169</f>
        <v>0</v>
      </c>
      <c r="L14" s="132">
        <f>Model!L169</f>
        <v>0</v>
      </c>
      <c r="M14" s="132">
        <f>Model!M169</f>
        <v>0</v>
      </c>
      <c r="N14" s="132">
        <f>Model!N169</f>
        <v>0</v>
      </c>
      <c r="O14" s="132">
        <f>Model!O169</f>
        <v>0</v>
      </c>
      <c r="P14" s="131">
        <f>Model!P169</f>
        <v>0</v>
      </c>
      <c r="Q14" s="132">
        <f>Model!Q169</f>
        <v>0</v>
      </c>
      <c r="R14" s="132">
        <f>Model!R169</f>
        <v>0</v>
      </c>
      <c r="S14" s="132">
        <f>Model!S169</f>
        <v>0</v>
      </c>
      <c r="T14" s="132">
        <f>Model!T169</f>
        <v>0</v>
      </c>
      <c r="U14" s="131">
        <f>Model!U169</f>
        <v>0</v>
      </c>
      <c r="V14" s="132">
        <f>Model!V169</f>
        <v>0</v>
      </c>
      <c r="W14" s="132">
        <f>Model!W169</f>
        <v>0</v>
      </c>
      <c r="X14" s="132">
        <f>Model!X169</f>
        <v>0</v>
      </c>
      <c r="Y14" s="132">
        <f>Model!Y169</f>
        <v>0</v>
      </c>
      <c r="Z14" s="131">
        <f>Model!Z169</f>
        <v>0</v>
      </c>
      <c r="AA14" s="132">
        <f>Model!AA169</f>
        <v>0</v>
      </c>
      <c r="AB14" s="132">
        <f>Model!AB169</f>
        <v>0</v>
      </c>
      <c r="AC14" s="132">
        <f>Model!AC169</f>
        <v>0.23725274012581887</v>
      </c>
      <c r="AD14" s="132">
        <f>Model!AD169</f>
        <v>0.15082811751494063</v>
      </c>
      <c r="AE14" s="131">
        <f>Model!AE169</f>
        <v>0.45262215477598566</v>
      </c>
      <c r="AF14" s="132">
        <f>Model!AF169</f>
        <v>-0.31862968492181976</v>
      </c>
      <c r="AG14" s="132">
        <f>Model!AG169</f>
        <v>-0.12079306653370681</v>
      </c>
      <c r="AH14" s="132">
        <f>Model!AH169</f>
        <v>-0.22958295766674353</v>
      </c>
      <c r="AI14" s="132">
        <f>Model!AI169</f>
        <v>-0.14786786131033203</v>
      </c>
      <c r="AJ14" s="131">
        <f>Model!AJ169</f>
        <v>-0.20160625657450015</v>
      </c>
      <c r="AK14" s="132">
        <f>Model!AK169</f>
        <v>0.24034225881593207</v>
      </c>
      <c r="AL14" s="132">
        <f>Model!AL169</f>
        <v>-0.13115888848116897</v>
      </c>
      <c r="AM14" s="132">
        <f>Model!AM169</f>
        <v>2.4448768716460734E-3</v>
      </c>
      <c r="AN14" s="132">
        <f>Model!AN169</f>
        <v>-0.10102183000464471</v>
      </c>
      <c r="AO14" s="131">
        <f>Model!AO169</f>
        <v>-1.636857767349098E-2</v>
      </c>
      <c r="AP14" s="132">
        <f>Model!AP169</f>
        <v>0.11100780959464474</v>
      </c>
      <c r="AQ14" s="132">
        <f>Model!AQ169</f>
        <v>0.28622301571303788</v>
      </c>
      <c r="AR14" s="132">
        <f>Model!AR169</f>
        <v>0.19909502262443435</v>
      </c>
      <c r="AS14" s="132">
        <f>Model!AS169</f>
        <v>0.24711604414790789</v>
      </c>
      <c r="AT14" s="131">
        <f>Model!AT169</f>
        <v>0.21058688147295745</v>
      </c>
      <c r="AU14" s="132">
        <f>Model!AU169</f>
        <v>0.2426778242677825</v>
      </c>
      <c r="AV14" s="132">
        <f>Model!AV169</f>
        <v>0.23880597014925375</v>
      </c>
      <c r="AW14" s="759">
        <f>Model!AW169</f>
        <v>0.45283018867924518</v>
      </c>
      <c r="AX14" s="132">
        <f>Model!AX169</f>
        <v>0.60471128993017986</v>
      </c>
      <c r="AY14" s="131">
        <f>Model!AY169</f>
        <v>0.39098779579890719</v>
      </c>
      <c r="AZ14" s="132">
        <f>Model!AZ169</f>
        <v>0.73512819500579774</v>
      </c>
      <c r="BA14" s="132">
        <f>Model!BA169</f>
        <v>0.782150231755119</v>
      </c>
      <c r="BB14" s="132">
        <f>Model!BB169</f>
        <v>0.83497104631733143</v>
      </c>
      <c r="BC14" s="132">
        <f>Model!BC169</f>
        <v>0.84689506460178898</v>
      </c>
      <c r="BD14" s="131">
        <f>Model!BD169</f>
        <v>0.80638388058449029</v>
      </c>
      <c r="BE14" s="131">
        <f>Model!BE169</f>
        <v>0.64422469208620714</v>
      </c>
      <c r="BF14" s="131">
        <f>Model!BF169</f>
        <v>0.38778062377405043</v>
      </c>
      <c r="BG14" s="131">
        <f>Model!BG169</f>
        <v>0.29171166478192623</v>
      </c>
      <c r="BH14" s="299"/>
    </row>
    <row r="15" spans="1:60" s="77" customFormat="1" x14ac:dyDescent="0.25">
      <c r="A15" s="332" t="str">
        <f>Model!A188</f>
        <v>Y/Y Services and other revenue growth, %</v>
      </c>
      <c r="B15" s="333"/>
      <c r="C15" s="131"/>
      <c r="D15" s="131">
        <f>Model!D188</f>
        <v>0</v>
      </c>
      <c r="E15" s="131">
        <f>Model!E188</f>
        <v>1.8309773212651277</v>
      </c>
      <c r="F15" s="131">
        <f>Model!F188</f>
        <v>-0.505029277580199</v>
      </c>
      <c r="G15" s="132">
        <f>Model!G188</f>
        <v>0</v>
      </c>
      <c r="H15" s="132">
        <f>Model!H188</f>
        <v>0</v>
      </c>
      <c r="I15" s="132">
        <f>Model!I188</f>
        <v>0</v>
      </c>
      <c r="J15" s="132">
        <f>Model!J188</f>
        <v>0</v>
      </c>
      <c r="K15" s="131">
        <f>Model!K188</f>
        <v>-0.42990891606488368</v>
      </c>
      <c r="L15" s="132">
        <f>Model!L188</f>
        <v>3.8066474427075425</v>
      </c>
      <c r="M15" s="132">
        <f>Model!M188</f>
        <v>10.520532741398446</v>
      </c>
      <c r="N15" s="132">
        <f>Model!N188</f>
        <v>44.120869565217397</v>
      </c>
      <c r="O15" s="132">
        <f>Model!O188</f>
        <v>14.174032516601789</v>
      </c>
      <c r="P15" s="131">
        <f>Model!P188</f>
        <v>11.179758115849776</v>
      </c>
      <c r="Q15" s="132">
        <f>Model!Q188</f>
        <v>0.47011461589466719</v>
      </c>
      <c r="R15" s="132">
        <f>Model!R188</f>
        <v>0.85178227360308267</v>
      </c>
      <c r="S15" s="132">
        <f>Model!S188</f>
        <v>0.62334984293395501</v>
      </c>
      <c r="T15" s="132">
        <f>Model!T188</f>
        <v>0.46943333584848701</v>
      </c>
      <c r="U15" s="131">
        <f>Model!U188</f>
        <v>0.59425955347437087</v>
      </c>
      <c r="V15" s="132">
        <f>Model!V188</f>
        <v>1.5984536082474223</v>
      </c>
      <c r="W15" s="132">
        <f>Model!W188</f>
        <v>0.14669770829539863</v>
      </c>
      <c r="X15" s="132">
        <f>Model!X188</f>
        <v>0.77729895291687456</v>
      </c>
      <c r="Y15" s="132">
        <f>Model!Y188</f>
        <v>0.63417614920100229</v>
      </c>
      <c r="Z15" s="131">
        <f>Model!Z188</f>
        <v>0.5340728793779419</v>
      </c>
      <c r="AA15" s="132">
        <f>Model!AA188</f>
        <v>0.59298750247966669</v>
      </c>
      <c r="AB15" s="132">
        <f>Model!AB188</f>
        <v>1.451777916406737</v>
      </c>
      <c r="AC15" s="132">
        <f>Model!AC188</f>
        <v>1.032483017053083</v>
      </c>
      <c r="AD15" s="132">
        <f>Model!AD188</f>
        <v>0.81002746303174278</v>
      </c>
      <c r="AE15" s="131">
        <f>Model!AE188</f>
        <v>1.1394121870539262</v>
      </c>
      <c r="AF15" s="132">
        <f>Model!AF188</f>
        <v>0.36676940319417195</v>
      </c>
      <c r="AG15" s="132">
        <f>Model!AG188</f>
        <v>0.2497258987513935</v>
      </c>
      <c r="AH15" s="132">
        <f>Model!AH188</f>
        <v>7.2462625007805315E-2</v>
      </c>
      <c r="AI15" s="132">
        <f>Model!AI188</f>
        <v>0.84418628067093238</v>
      </c>
      <c r="AJ15" s="131">
        <f>Model!AJ188</f>
        <v>0.38939456743758649</v>
      </c>
      <c r="AK15" s="132">
        <f>Model!AK188</f>
        <v>0.87137260261491511</v>
      </c>
      <c r="AL15" s="132">
        <f>Model!AL188</f>
        <v>1.2398553353421531</v>
      </c>
      <c r="AM15" s="132">
        <f>Model!AM188</f>
        <v>0.67928170869978244</v>
      </c>
      <c r="AN15" s="132">
        <f>Model!AN188</f>
        <v>9.1916326058020692E-2</v>
      </c>
      <c r="AO15" s="131">
        <f>Model!AO188</f>
        <v>0.60024039550236119</v>
      </c>
      <c r="AP15" s="132">
        <f>Model!AP188</f>
        <v>0.13603628824486447</v>
      </c>
      <c r="AQ15" s="132">
        <f>Model!AQ188</f>
        <v>-0.19514641889736706</v>
      </c>
      <c r="AR15" s="132">
        <f>Model!AR188</f>
        <v>6.0218978102189791E-2</v>
      </c>
      <c r="AS15" s="132">
        <f>Model!AS188</f>
        <v>0.16900784338743291</v>
      </c>
      <c r="AT15" s="131">
        <f>Model!AT188</f>
        <v>3.5938903863432126E-2</v>
      </c>
      <c r="AU15" s="132">
        <f>Model!AU188</f>
        <v>0.59464285714285725</v>
      </c>
      <c r="AV15" s="132">
        <f>Model!AV188</f>
        <v>0.95277207392197116</v>
      </c>
      <c r="AW15" s="759">
        <f>Model!AW188</f>
        <v>0.53872633390705671</v>
      </c>
      <c r="AX15" s="132">
        <f>Model!AX188</f>
        <v>0.53632428190757508</v>
      </c>
      <c r="AY15" s="131">
        <f>Model!AY188</f>
        <v>0.63904070387395318</v>
      </c>
      <c r="AZ15" s="132">
        <f>Model!AZ188</f>
        <v>0.70630741984554546</v>
      </c>
      <c r="BA15" s="132">
        <f>Model!BA188</f>
        <v>0.86215529980879024</v>
      </c>
      <c r="BB15" s="132">
        <f>Model!BB188</f>
        <v>1.6652225348572083</v>
      </c>
      <c r="BC15" s="132">
        <f>Model!BC188</f>
        <v>1.573124187395043</v>
      </c>
      <c r="BD15" s="131">
        <f>Model!BD188</f>
        <v>1.211220076086295</v>
      </c>
      <c r="BE15" s="131">
        <f>Model!BE188</f>
        <v>0.27810250055137886</v>
      </c>
      <c r="BF15" s="131">
        <f>Model!BF188</f>
        <v>0.21199883035212341</v>
      </c>
      <c r="BG15" s="131">
        <f>Model!BG188</f>
        <v>0.20902671497614178</v>
      </c>
      <c r="BH15" s="299"/>
    </row>
    <row r="16" spans="1:60" s="77" customFormat="1" x14ac:dyDescent="0.25">
      <c r="A16" s="492" t="str">
        <f>Model!A215</f>
        <v>Y/Y Energy Generation and Storage Revenue Growth, %</v>
      </c>
      <c r="B16" s="493"/>
      <c r="C16" s="494"/>
      <c r="D16" s="494">
        <f>Model!D215</f>
        <v>0</v>
      </c>
      <c r="E16" s="494">
        <f>Model!E215</f>
        <v>0</v>
      </c>
      <c r="F16" s="494">
        <f>Model!F215</f>
        <v>0</v>
      </c>
      <c r="G16" s="462">
        <f>Model!G215</f>
        <v>0</v>
      </c>
      <c r="H16" s="462">
        <f>Model!H215</f>
        <v>0</v>
      </c>
      <c r="I16" s="462">
        <f>Model!I215</f>
        <v>0</v>
      </c>
      <c r="J16" s="462">
        <f>Model!J215</f>
        <v>0</v>
      </c>
      <c r="K16" s="494">
        <f>Model!K215</f>
        <v>0</v>
      </c>
      <c r="L16" s="462">
        <f>Model!L215</f>
        <v>0</v>
      </c>
      <c r="M16" s="462">
        <f>Model!M215</f>
        <v>0</v>
      </c>
      <c r="N16" s="462">
        <f>Model!N215</f>
        <v>0</v>
      </c>
      <c r="O16" s="462">
        <f>Model!O215</f>
        <v>0</v>
      </c>
      <c r="P16" s="494">
        <f>Model!P215</f>
        <v>0</v>
      </c>
      <c r="Q16" s="462">
        <f>Model!Q215</f>
        <v>0</v>
      </c>
      <c r="R16" s="462">
        <f>Model!R215</f>
        <v>0</v>
      </c>
      <c r="S16" s="462">
        <f>Model!S215</f>
        <v>0</v>
      </c>
      <c r="T16" s="462">
        <f>Model!T215</f>
        <v>0</v>
      </c>
      <c r="U16" s="494">
        <f>Model!U215</f>
        <v>0</v>
      </c>
      <c r="V16" s="462">
        <f>Model!V215</f>
        <v>0</v>
      </c>
      <c r="W16" s="462">
        <f>Model!W215</f>
        <v>0</v>
      </c>
      <c r="X16" s="462">
        <f>Model!X215</f>
        <v>0</v>
      </c>
      <c r="Y16" s="462">
        <f>Model!Y215</f>
        <v>0</v>
      </c>
      <c r="Z16" s="494">
        <f>Model!Z215</f>
        <v>0</v>
      </c>
      <c r="AA16" s="462">
        <f>Model!AA215</f>
        <v>0</v>
      </c>
      <c r="AB16" s="462">
        <f>Model!AB215</f>
        <v>0</v>
      </c>
      <c r="AC16" s="462">
        <f>Model!AC215</f>
        <v>0</v>
      </c>
      <c r="AD16" s="462">
        <f>Model!AD215</f>
        <v>1.2684248582410471</v>
      </c>
      <c r="AE16" s="494">
        <f>Model!AE215</f>
        <v>5.1538198617374338</v>
      </c>
      <c r="AF16" s="462">
        <f>Model!AF215</f>
        <v>0.91649216617432616</v>
      </c>
      <c r="AG16" s="462">
        <f>Model!AG215</f>
        <v>0.30555826766162242</v>
      </c>
      <c r="AH16" s="462">
        <f>Model!AH215</f>
        <v>0.25767153273176802</v>
      </c>
      <c r="AI16" s="462">
        <f>Model!AI215</f>
        <v>0.24647946395917275</v>
      </c>
      <c r="AJ16" s="494">
        <f>Model!AJ215</f>
        <v>0.39325572936916453</v>
      </c>
      <c r="AK16" s="462">
        <f>Model!AK215</f>
        <v>-0.20818638999858541</v>
      </c>
      <c r="AL16" s="462">
        <f>Model!AL215</f>
        <v>-1.6559475224888431E-2</v>
      </c>
      <c r="AM16" s="462">
        <f>Model!AM215</f>
        <v>6.7189726457925758E-3</v>
      </c>
      <c r="AN16" s="462">
        <f>Model!AN215</f>
        <v>0.17398256244330379</v>
      </c>
      <c r="AO16" s="494">
        <f>Model!AO215</f>
        <v>-1.5588550735447293E-2</v>
      </c>
      <c r="AP16" s="462">
        <f>Model!AP215</f>
        <v>-9.7520182590455917E-2</v>
      </c>
      <c r="AQ16" s="462">
        <f>Model!AQ215</f>
        <v>4.8668144092469667E-3</v>
      </c>
      <c r="AR16" s="462">
        <f>Model!AR215</f>
        <v>0.44029850746268662</v>
      </c>
      <c r="AS16" s="462">
        <f>Model!AS215</f>
        <v>0.72425257548764033</v>
      </c>
      <c r="AT16" s="494">
        <f>Model!AT215</f>
        <v>0.30241672109732209</v>
      </c>
      <c r="AU16" s="462">
        <f>Model!AU215</f>
        <v>0.68600682593856654</v>
      </c>
      <c r="AV16" s="462">
        <f>Model!AV215</f>
        <v>1.1648648648648647</v>
      </c>
      <c r="AW16" s="760">
        <f>Model!AW215</f>
        <v>0.39205526770293608</v>
      </c>
      <c r="AX16" s="462">
        <f>Model!AX215</f>
        <v>0.29923537234042552</v>
      </c>
      <c r="AY16" s="494">
        <f>Model!AY215</f>
        <v>0.54364343029087259</v>
      </c>
      <c r="AZ16" s="462">
        <f>Model!AZ215</f>
        <v>0.68709514170040475</v>
      </c>
      <c r="BA16" s="462">
        <f>Model!BA215</f>
        <v>0.64597378277153572</v>
      </c>
      <c r="BB16" s="462">
        <f>Model!BB215</f>
        <v>0.65462158808933024</v>
      </c>
      <c r="BC16" s="462">
        <f>Model!BC215</f>
        <v>0.67715769811417337</v>
      </c>
      <c r="BD16" s="494">
        <f>Model!BD215</f>
        <v>0.66473631630672303</v>
      </c>
      <c r="BE16" s="494">
        <f>Model!BE215</f>
        <v>0.44124821919946933</v>
      </c>
      <c r="BF16" s="494">
        <f>Model!BF215</f>
        <v>0.46031874991537025</v>
      </c>
      <c r="BG16" s="494">
        <f>Model!BG215</f>
        <v>0.47356879253750717</v>
      </c>
      <c r="BH16" s="299"/>
    </row>
    <row r="17" spans="1:60" s="77" customFormat="1" x14ac:dyDescent="0.25">
      <c r="A17" s="963" t="str">
        <f>Model!A51</f>
        <v>Y/Y Total revenue growth, %</v>
      </c>
      <c r="B17" s="334"/>
      <c r="C17" s="133"/>
      <c r="D17" s="133">
        <f>Model!D51</f>
        <v>4.2887898305387528E-2</v>
      </c>
      <c r="E17" s="133">
        <f>Model!E51</f>
        <v>0.74948605495785658</v>
      </c>
      <c r="F17" s="133">
        <f>Model!F51</f>
        <v>1.0233644402228728</v>
      </c>
      <c r="G17" s="134">
        <f>Model!G51</f>
        <v>0</v>
      </c>
      <c r="H17" s="134">
        <f>Model!H51</f>
        <v>0</v>
      </c>
      <c r="I17" s="134">
        <f>Model!I51</f>
        <v>0</v>
      </c>
      <c r="J17" s="134">
        <f>Model!J51</f>
        <v>0</v>
      </c>
      <c r="K17" s="133">
        <f>Model!K51</f>
        <v>3.8722728768608317</v>
      </c>
      <c r="L17" s="134">
        <f>Model!L51</f>
        <v>0.10457607085896559</v>
      </c>
      <c r="M17" s="134">
        <f>Model!M51</f>
        <v>0.89897541337664344</v>
      </c>
      <c r="N17" s="134">
        <f>Model!N51</f>
        <v>0.97475808283837106</v>
      </c>
      <c r="O17" s="134">
        <f>Model!O51</f>
        <v>0.5549926123868083</v>
      </c>
      <c r="P17" s="133">
        <f>Model!P51</f>
        <v>0.58845907814070664</v>
      </c>
      <c r="Q17" s="134">
        <f>Model!Q51</f>
        <v>0.51461142033899399</v>
      </c>
      <c r="R17" s="134">
        <f>Model!R51</f>
        <v>0.24127801556900708</v>
      </c>
      <c r="S17" s="134">
        <f>Model!S51</f>
        <v>9.9770604505261762E-2</v>
      </c>
      <c r="T17" s="134">
        <f>Model!T51</f>
        <v>0.26939427864206889</v>
      </c>
      <c r="U17" s="133">
        <f>Model!U51</f>
        <v>0.26503272306147285</v>
      </c>
      <c r="V17" s="134">
        <f>Model!V51</f>
        <v>0.22041962803762161</v>
      </c>
      <c r="W17" s="134">
        <f>Model!W51</f>
        <v>0.32989415440806891</v>
      </c>
      <c r="X17" s="134">
        <f>Model!X51</f>
        <v>1.4535258206490465</v>
      </c>
      <c r="Y17" s="134">
        <f>Model!Y51</f>
        <v>0.88131474497274342</v>
      </c>
      <c r="Z17" s="133">
        <f>Model!Z51</f>
        <v>0.73012574069611524</v>
      </c>
      <c r="AA17" s="134">
        <f>Model!AA51</f>
        <v>1.3506165391509337</v>
      </c>
      <c r="AB17" s="134">
        <f>Model!AB51</f>
        <v>1.19647217320713</v>
      </c>
      <c r="AC17" s="134">
        <f>Model!AC51</f>
        <v>0.29856780871862454</v>
      </c>
      <c r="AD17" s="134">
        <f>Model!AD51</f>
        <v>0.43929107151220426</v>
      </c>
      <c r="AE17" s="133">
        <f>Model!AE51</f>
        <v>0.67978989539054413</v>
      </c>
      <c r="AF17" s="134">
        <f>Model!AF51</f>
        <v>0.26424690405634443</v>
      </c>
      <c r="AG17" s="134">
        <f>Model!AG51</f>
        <v>0.43471920451885349</v>
      </c>
      <c r="AH17" s="134">
        <f>Model!AH51</f>
        <v>1.2864844581068291</v>
      </c>
      <c r="AI17" s="134">
        <f>Model!AI51</f>
        <v>1.197483523905885</v>
      </c>
      <c r="AJ17" s="133">
        <f>Model!AJ51</f>
        <v>0.82513159773516764</v>
      </c>
      <c r="AK17" s="134">
        <f>Model!AK51</f>
        <v>0.33229561208782932</v>
      </c>
      <c r="AL17" s="134">
        <f>Model!AL51</f>
        <v>0.5865341105998132</v>
      </c>
      <c r="AM17" s="134">
        <f>Model!AM51</f>
        <v>-7.640408046816638E-2</v>
      </c>
      <c r="AN17" s="134">
        <f>Model!AN51</f>
        <v>2.1864070957239301E-2</v>
      </c>
      <c r="AO17" s="133">
        <f>Model!AO51</f>
        <v>0.14522590184326489</v>
      </c>
      <c r="AP17" s="134">
        <f>Model!AP51</f>
        <v>0.31785697299373061</v>
      </c>
      <c r="AQ17" s="134">
        <f>Model!AQ51</f>
        <v>-4.9400315858635913E-2</v>
      </c>
      <c r="AR17" s="134">
        <f>Model!AR51</f>
        <v>0.39155957480564818</v>
      </c>
      <c r="AS17" s="134">
        <f>Model!AS51</f>
        <v>0.45506550774256271</v>
      </c>
      <c r="AT17" s="133">
        <f>Model!AT51</f>
        <v>0.28309870615998056</v>
      </c>
      <c r="AU17" s="134">
        <f>Model!AU51</f>
        <v>0.73583959899749374</v>
      </c>
      <c r="AV17" s="134">
        <f>Model!AV51</f>
        <v>0.98111332007952279</v>
      </c>
      <c r="AW17" s="761">
        <f>Model!AW51</f>
        <v>0.56846425721126437</v>
      </c>
      <c r="AX17" s="134">
        <f>Model!AX51</f>
        <v>0.57288262359412467</v>
      </c>
      <c r="AY17" s="133">
        <f>Model!AY51</f>
        <v>0.68071571879424408</v>
      </c>
      <c r="AZ17" s="134">
        <f>Model!AZ51</f>
        <v>1.0602381461110761</v>
      </c>
      <c r="BA17" s="134">
        <f>Model!BA51</f>
        <v>1.1095254906000291</v>
      </c>
      <c r="BB17" s="134">
        <f>Model!BB51</f>
        <v>1.1945829608497935</v>
      </c>
      <c r="BC17" s="134">
        <f>Model!BC51</f>
        <v>1.0178223959439818</v>
      </c>
      <c r="BD17" s="133">
        <f>Model!BD51</f>
        <v>1.0927037066951146</v>
      </c>
      <c r="BE17" s="133">
        <f>Model!BE51</f>
        <v>0.23291228779348661</v>
      </c>
      <c r="BF17" s="133">
        <f>Model!BF51</f>
        <v>0.22540877996416886</v>
      </c>
      <c r="BG17" s="133">
        <f>Model!BG51</f>
        <v>0.22605131905129783</v>
      </c>
      <c r="BH17" s="299"/>
    </row>
    <row r="18" spans="1:60" s="77" customFormat="1" x14ac:dyDescent="0.25">
      <c r="A18" s="335"/>
      <c r="B18" s="333"/>
      <c r="C18" s="131"/>
      <c r="D18" s="131"/>
      <c r="E18" s="131"/>
      <c r="F18" s="131"/>
      <c r="G18" s="132"/>
      <c r="H18" s="132"/>
      <c r="I18" s="132"/>
      <c r="J18" s="132"/>
      <c r="K18" s="131"/>
      <c r="L18" s="132"/>
      <c r="M18" s="132"/>
      <c r="N18" s="132"/>
      <c r="O18" s="132"/>
      <c r="P18" s="131"/>
      <c r="Q18" s="132"/>
      <c r="R18" s="132"/>
      <c r="S18" s="132"/>
      <c r="T18" s="132"/>
      <c r="U18" s="131"/>
      <c r="V18" s="132"/>
      <c r="W18" s="132"/>
      <c r="X18" s="132"/>
      <c r="Y18" s="132"/>
      <c r="Z18" s="131"/>
      <c r="AA18" s="132"/>
      <c r="AB18" s="132"/>
      <c r="AC18" s="132"/>
      <c r="AD18" s="132"/>
      <c r="AE18" s="131"/>
      <c r="AF18" s="132"/>
      <c r="AG18" s="132"/>
      <c r="AH18" s="132"/>
      <c r="AI18" s="132"/>
      <c r="AJ18" s="131"/>
      <c r="AK18" s="132"/>
      <c r="AL18" s="132"/>
      <c r="AM18" s="132"/>
      <c r="AN18" s="132"/>
      <c r="AO18" s="131"/>
      <c r="AP18" s="132"/>
      <c r="AQ18" s="132"/>
      <c r="AR18" s="132"/>
      <c r="AS18" s="132"/>
      <c r="AT18" s="131"/>
      <c r="AU18" s="132"/>
      <c r="AV18" s="132"/>
      <c r="AW18" s="759"/>
      <c r="AX18" s="132"/>
      <c r="AY18" s="131"/>
      <c r="AZ18" s="132"/>
      <c r="BA18" s="132"/>
      <c r="BB18" s="132"/>
      <c r="BC18" s="132"/>
      <c r="BD18" s="131"/>
      <c r="BE18" s="131"/>
      <c r="BF18" s="131"/>
      <c r="BG18" s="131"/>
      <c r="BH18" s="299"/>
    </row>
    <row r="19" spans="1:60" s="75" customFormat="1" x14ac:dyDescent="0.25">
      <c r="A19" s="327" t="str">
        <f>Model!A224</f>
        <v>Automotive revenue, mm</v>
      </c>
      <c r="B19" s="328"/>
      <c r="C19" s="1086">
        <f>Model!C224</f>
        <v>111.943</v>
      </c>
      <c r="D19" s="1086">
        <f>Model!D224</f>
        <v>97.078000000000003</v>
      </c>
      <c r="E19" s="1086">
        <f>Model!E224</f>
        <v>148.56800000000001</v>
      </c>
      <c r="F19" s="1086">
        <f>Model!F224</f>
        <v>385.69900000000001</v>
      </c>
      <c r="G19" s="1087">
        <f>Model!G224</f>
        <v>555.20299999999997</v>
      </c>
      <c r="H19" s="1087">
        <f>Model!H224</f>
        <v>401.53500000000003</v>
      </c>
      <c r="I19" s="1087">
        <f>Model!I224</f>
        <v>430.19600000000003</v>
      </c>
      <c r="J19" s="1087">
        <f>Model!J224</f>
        <v>610.85200000000009</v>
      </c>
      <c r="K19" s="1086">
        <f>Model!K224</f>
        <v>1997.7860000000001</v>
      </c>
      <c r="L19" s="1087">
        <f>Model!L224</f>
        <v>588.87099999999998</v>
      </c>
      <c r="M19" s="1087">
        <f>Model!M224</f>
        <v>727.82899999999995</v>
      </c>
      <c r="N19" s="1087">
        <f>Model!N224</f>
        <v>799.91499999999996</v>
      </c>
      <c r="O19" s="1087">
        <f>Model!O224</f>
        <v>890.39599999999996</v>
      </c>
      <c r="P19" s="1086">
        <f>Model!P224</f>
        <v>3007.0120000000002</v>
      </c>
      <c r="Q19" s="1087">
        <f>Model!Q224</f>
        <v>893.32</v>
      </c>
      <c r="R19" s="1087">
        <f>Model!R224</f>
        <v>878.09</v>
      </c>
      <c r="S19" s="1087">
        <f>Model!S224</f>
        <v>852.55499999999995</v>
      </c>
      <c r="T19" s="1087">
        <f>Model!T224</f>
        <v>1117.008</v>
      </c>
      <c r="U19" s="1086">
        <f>Model!U224</f>
        <v>3740.973</v>
      </c>
      <c r="V19" s="1087">
        <f>Model!V224</f>
        <v>1026.0640000000001</v>
      </c>
      <c r="W19" s="1087">
        <f>Model!W224</f>
        <v>1181.8520000000001</v>
      </c>
      <c r="X19" s="1087">
        <f>Model!X224</f>
        <v>1917.442</v>
      </c>
      <c r="Y19" s="1087">
        <f>Model!Y224</f>
        <v>1739.4490000000001</v>
      </c>
      <c r="Z19" s="1086">
        <f>Model!Z224</f>
        <v>5589.0069999999996</v>
      </c>
      <c r="AA19" s="1087">
        <f>Model!AA224</f>
        <v>2035.06</v>
      </c>
      <c r="AB19" s="1087">
        <f>Model!AB224</f>
        <v>2013.8520000000001</v>
      </c>
      <c r="AC19" s="1087">
        <f>Model!AC224</f>
        <v>2076.7310000000002</v>
      </c>
      <c r="AD19" s="1087">
        <f>Model!AD224</f>
        <v>2409.1089999999999</v>
      </c>
      <c r="AE19" s="1086">
        <f>Model!AE224</f>
        <v>8534.7520000000004</v>
      </c>
      <c r="AF19" s="1087">
        <f>Model!AF224</f>
        <v>2561.8809999999999</v>
      </c>
      <c r="AG19" s="1087">
        <f>Model!AG224</f>
        <v>3117.8649999999998</v>
      </c>
      <c r="AH19" s="1087">
        <f>Model!AH224</f>
        <v>5878.3050000000003</v>
      </c>
      <c r="AI19" s="1087">
        <f>Model!AI224</f>
        <v>6073.4710000000014</v>
      </c>
      <c r="AJ19" s="1086">
        <f>Model!AJ224</f>
        <v>17631.522000000001</v>
      </c>
      <c r="AK19" s="1087">
        <f>Model!AK224</f>
        <v>3508.741</v>
      </c>
      <c r="AL19" s="1087">
        <f>Model!AL224</f>
        <v>5168.027</v>
      </c>
      <c r="AM19" s="1087">
        <f>Model!AM224</f>
        <v>5132</v>
      </c>
      <c r="AN19" s="1087">
        <f>Model!AN224</f>
        <v>6143.232</v>
      </c>
      <c r="AO19" s="1086">
        <f>Model!AO224</f>
        <v>19952</v>
      </c>
      <c r="AP19" s="1087">
        <f>Model!AP224</f>
        <v>4893</v>
      </c>
      <c r="AQ19" s="1087">
        <f>Model!AQ224</f>
        <v>4911</v>
      </c>
      <c r="AR19" s="1087">
        <f>Model!AR224</f>
        <v>7346</v>
      </c>
      <c r="AS19" s="1087">
        <f>Model!AS224</f>
        <v>9034</v>
      </c>
      <c r="AT19" s="1086">
        <f>Model!AT224</f>
        <v>26184</v>
      </c>
      <c r="AU19" s="1087">
        <f>Model!AU224</f>
        <v>8705</v>
      </c>
      <c r="AV19" s="1087">
        <f>Model!AV224</f>
        <v>9874</v>
      </c>
      <c r="AW19" s="1088">
        <f>Model!AW224</f>
        <v>11672</v>
      </c>
      <c r="AX19" s="1087">
        <f>Model!AX224</f>
        <v>14431.078883581489</v>
      </c>
      <c r="AY19" s="1086">
        <f>Model!AY224</f>
        <v>44682.078883581489</v>
      </c>
      <c r="AZ19" s="1087">
        <f>Model!AZ224</f>
        <v>18531.323500109178</v>
      </c>
      <c r="BA19" s="1087">
        <f>Model!BA224</f>
        <v>21544.697249534292</v>
      </c>
      <c r="BB19" s="1087">
        <f>Model!BB224</f>
        <v>25768.079993416093</v>
      </c>
      <c r="BC19" s="1087">
        <f>Model!BC224</f>
        <v>28950.575202040371</v>
      </c>
      <c r="BD19" s="1086">
        <f>Model!BD224</f>
        <v>94794.675945099938</v>
      </c>
      <c r="BE19" s="1086">
        <f>Model!BE224</f>
        <v>114341.07669957618</v>
      </c>
      <c r="BF19" s="1086">
        <f>Model!BF224</f>
        <v>137817.26739305412</v>
      </c>
      <c r="BG19" s="1086">
        <f>Model!BG224</f>
        <v>166126.03717184966</v>
      </c>
      <c r="BH19" s="1030"/>
    </row>
    <row r="20" spans="1:60" s="75" customFormat="1" x14ac:dyDescent="0.25">
      <c r="A20" s="327" t="str">
        <f>Model!A225</f>
        <v>Automotive leasing revenue, mm</v>
      </c>
      <c r="B20" s="328"/>
      <c r="C20" s="1086">
        <f>Model!C225</f>
        <v>0</v>
      </c>
      <c r="D20" s="1086">
        <f>Model!D225</f>
        <v>0</v>
      </c>
      <c r="E20" s="1086">
        <f>Model!E225</f>
        <v>0</v>
      </c>
      <c r="F20" s="1086">
        <f>Model!F225</f>
        <v>0</v>
      </c>
      <c r="G20" s="1087">
        <f>Model!G225</f>
        <v>0</v>
      </c>
      <c r="H20" s="1087">
        <f>Model!H225</f>
        <v>0</v>
      </c>
      <c r="I20" s="1087">
        <f>Model!I225</f>
        <v>0</v>
      </c>
      <c r="J20" s="1087">
        <f>Model!J225</f>
        <v>0</v>
      </c>
      <c r="K20" s="1086">
        <f>Model!K225</f>
        <v>0</v>
      </c>
      <c r="L20" s="1087">
        <f>Model!L225</f>
        <v>0</v>
      </c>
      <c r="M20" s="1087">
        <f>Model!M225</f>
        <v>0</v>
      </c>
      <c r="N20" s="1087">
        <f>Model!N225</f>
        <v>0</v>
      </c>
      <c r="O20" s="1087">
        <f>Model!O225</f>
        <v>0</v>
      </c>
      <c r="P20" s="1086">
        <f>Model!P225</f>
        <v>0</v>
      </c>
      <c r="Q20" s="1087">
        <f>Model!Q225</f>
        <v>0</v>
      </c>
      <c r="R20" s="1087">
        <f>Model!R225</f>
        <v>0</v>
      </c>
      <c r="S20" s="1087">
        <f>Model!S225</f>
        <v>0</v>
      </c>
      <c r="T20" s="1087">
        <f>Model!T225</f>
        <v>0</v>
      </c>
      <c r="U20" s="1086">
        <f>Model!U225</f>
        <v>0</v>
      </c>
      <c r="V20" s="1087">
        <f>Model!V225</f>
        <v>0</v>
      </c>
      <c r="W20" s="1087">
        <f>Model!W225</f>
        <v>0</v>
      </c>
      <c r="X20" s="1087">
        <f>Model!X225</f>
        <v>231.285</v>
      </c>
      <c r="Y20" s="1087">
        <f>Model!Y225</f>
        <v>254.67400000000001</v>
      </c>
      <c r="Z20" s="1086">
        <f>Model!Z225</f>
        <v>761.75900000000001</v>
      </c>
      <c r="AA20" s="1087">
        <f>Model!AA225</f>
        <v>254.54</v>
      </c>
      <c r="AB20" s="1087">
        <f>Model!AB225</f>
        <v>272.76400000000001</v>
      </c>
      <c r="AC20" s="1087">
        <f>Model!AC225</f>
        <v>286.15800000000002</v>
      </c>
      <c r="AD20" s="1087">
        <f>Model!AD225</f>
        <v>293.08600000000001</v>
      </c>
      <c r="AE20" s="1086">
        <f>Model!AE225</f>
        <v>1106.548</v>
      </c>
      <c r="AF20" s="1087">
        <f>Model!AF225</f>
        <v>173.43600000000001</v>
      </c>
      <c r="AG20" s="1087">
        <f>Model!AG225</f>
        <v>239.816</v>
      </c>
      <c r="AH20" s="1087">
        <f>Model!AH225</f>
        <v>220.46100000000001</v>
      </c>
      <c r="AI20" s="1087">
        <f>Model!AI225</f>
        <v>249.74800000000005</v>
      </c>
      <c r="AJ20" s="1086">
        <f>Model!AJ225</f>
        <v>883.46100000000001</v>
      </c>
      <c r="AK20" s="1087">
        <f>Model!AK225</f>
        <v>215.12</v>
      </c>
      <c r="AL20" s="1087">
        <f>Model!AL225</f>
        <v>208.36199999999999</v>
      </c>
      <c r="AM20" s="1087">
        <f>Model!AM225</f>
        <v>221</v>
      </c>
      <c r="AN20" s="1087">
        <f>Model!AN225</f>
        <v>224.51800000000003</v>
      </c>
      <c r="AO20" s="1086">
        <f>Model!AO225</f>
        <v>869</v>
      </c>
      <c r="AP20" s="1087">
        <f>Model!AP225</f>
        <v>239</v>
      </c>
      <c r="AQ20" s="1087">
        <f>Model!AQ225</f>
        <v>268</v>
      </c>
      <c r="AR20" s="1087">
        <f>Model!AR225</f>
        <v>265</v>
      </c>
      <c r="AS20" s="1087">
        <f>Model!AS225</f>
        <v>280</v>
      </c>
      <c r="AT20" s="1086">
        <f>Model!AT225</f>
        <v>1052</v>
      </c>
      <c r="AU20" s="1087">
        <f>Model!AU225</f>
        <v>297</v>
      </c>
      <c r="AV20" s="1087">
        <f>Model!AV225</f>
        <v>332</v>
      </c>
      <c r="AW20" s="1088">
        <f>Model!AW225</f>
        <v>385</v>
      </c>
      <c r="AX20" s="1087">
        <f>Model!AX225</f>
        <v>449.31916118045035</v>
      </c>
      <c r="AY20" s="1086">
        <f>Model!AY225</f>
        <v>1463.3191611804505</v>
      </c>
      <c r="AZ20" s="1087">
        <f>Model!AZ225</f>
        <v>515.3330739167219</v>
      </c>
      <c r="BA20" s="1087">
        <f>Model!BA225</f>
        <v>591.67387694269951</v>
      </c>
      <c r="BB20" s="1087">
        <f>Model!BB225</f>
        <v>706.46385283217262</v>
      </c>
      <c r="BC20" s="1087">
        <f>Model!BC225</f>
        <v>829.84534121518948</v>
      </c>
      <c r="BD20" s="1086">
        <f>Model!BD225</f>
        <v>2643.3161449067834</v>
      </c>
      <c r="BE20" s="1086">
        <f>Model!BE225</f>
        <v>4346.2056744458559</v>
      </c>
      <c r="BF20" s="1086">
        <f>Model!BF225</f>
        <v>6031.5800219327875</v>
      </c>
      <c r="BG20" s="1086">
        <f>Model!BG225</f>
        <v>7791.0622713962084</v>
      </c>
      <c r="BH20" s="1030"/>
    </row>
    <row r="21" spans="1:60" s="75" customFormat="1" x14ac:dyDescent="0.25">
      <c r="A21" s="327" t="str">
        <f>Model!A226</f>
        <v>Services and other revenue, mm</v>
      </c>
      <c r="B21" s="328"/>
      <c r="C21" s="1086">
        <f>Model!C226</f>
        <v>0</v>
      </c>
      <c r="D21" s="1086">
        <f>Model!D226</f>
        <v>19.666</v>
      </c>
      <c r="E21" s="1086">
        <f>Model!E226</f>
        <v>55.673999999999999</v>
      </c>
      <c r="F21" s="1086">
        <f>Model!F226</f>
        <v>27.556999999999999</v>
      </c>
      <c r="G21" s="1087">
        <f>Model!G226</f>
        <v>6.5890000000000004</v>
      </c>
      <c r="H21" s="1087">
        <f>Model!H226</f>
        <v>3.6040000000000001</v>
      </c>
      <c r="I21" s="1087">
        <f>Model!I226</f>
        <v>1.1499999999999999</v>
      </c>
      <c r="J21" s="1087">
        <f>Model!J226</f>
        <v>4.3669999999999991</v>
      </c>
      <c r="K21" s="1086">
        <f>Model!K226</f>
        <v>15.71</v>
      </c>
      <c r="L21" s="1087">
        <f>Model!L226</f>
        <v>31.670999999999999</v>
      </c>
      <c r="M21" s="1087">
        <f>Model!M226</f>
        <v>41.52</v>
      </c>
      <c r="N21" s="1087">
        <f>Model!N226</f>
        <v>51.889000000000003</v>
      </c>
      <c r="O21" s="1087">
        <f>Model!O226</f>
        <v>66.265000000000001</v>
      </c>
      <c r="P21" s="1086">
        <f>Model!P226</f>
        <v>191.34399999999999</v>
      </c>
      <c r="Q21" s="1087">
        <f>Model!Q226</f>
        <v>46.56</v>
      </c>
      <c r="R21" s="1087">
        <f>Model!R226</f>
        <v>76.885999999999996</v>
      </c>
      <c r="S21" s="1087">
        <f>Model!S226</f>
        <v>84.233999999999995</v>
      </c>
      <c r="T21" s="1087">
        <f>Model!T226</f>
        <v>97.372</v>
      </c>
      <c r="U21" s="1086">
        <f>Model!U226</f>
        <v>305.05200000000002</v>
      </c>
      <c r="V21" s="1087">
        <f>Model!V226</f>
        <v>120.98399999999999</v>
      </c>
      <c r="W21" s="1087">
        <f>Model!W226</f>
        <v>88.165000000000006</v>
      </c>
      <c r="X21" s="1087">
        <f>Model!X226</f>
        <v>149.709</v>
      </c>
      <c r="Y21" s="1087">
        <f>Model!Y226</f>
        <v>159.12299999999999</v>
      </c>
      <c r="Z21" s="1086">
        <f>Model!Z226</f>
        <v>467.97199999999998</v>
      </c>
      <c r="AA21" s="1087">
        <f>Model!AA226</f>
        <v>192.726</v>
      </c>
      <c r="AB21" s="1087">
        <f>Model!AB226</f>
        <v>216.161</v>
      </c>
      <c r="AC21" s="1087">
        <f>Model!AC226</f>
        <v>304.28100000000001</v>
      </c>
      <c r="AD21" s="1087">
        <f>Model!AD226</f>
        <v>288.017</v>
      </c>
      <c r="AE21" s="1086">
        <f>Model!AE226</f>
        <v>1001.1849999999999</v>
      </c>
      <c r="AF21" s="1087">
        <f>Model!AF226</f>
        <v>263.41199999999998</v>
      </c>
      <c r="AG21" s="1087">
        <f>Model!AG226</f>
        <v>270.142</v>
      </c>
      <c r="AH21" s="1087">
        <f>Model!AH226</f>
        <v>326.33</v>
      </c>
      <c r="AI21" s="1087">
        <f>Model!AI226</f>
        <v>531.15699999999993</v>
      </c>
      <c r="AJ21" s="1086">
        <f>Model!AJ226</f>
        <v>1391.0409999999999</v>
      </c>
      <c r="AK21" s="1087">
        <f>Model!AK226</f>
        <v>492.94200000000001</v>
      </c>
      <c r="AL21" s="1087">
        <f>Model!AL226</f>
        <v>605.07899999999995</v>
      </c>
      <c r="AM21" s="1087">
        <f>Model!AM226</f>
        <v>548</v>
      </c>
      <c r="AN21" s="1087">
        <f>Model!AN226</f>
        <v>579.97900000000004</v>
      </c>
      <c r="AO21" s="1086">
        <f>Model!AO226</f>
        <v>2226</v>
      </c>
      <c r="AP21" s="1087">
        <f>Model!AP226</f>
        <v>560</v>
      </c>
      <c r="AQ21" s="1087">
        <f>Model!AQ226</f>
        <v>487</v>
      </c>
      <c r="AR21" s="1087">
        <f>Model!AR226</f>
        <v>581</v>
      </c>
      <c r="AS21" s="1087">
        <f>Model!AS226</f>
        <v>678</v>
      </c>
      <c r="AT21" s="1086">
        <f>Model!AT226</f>
        <v>2306</v>
      </c>
      <c r="AU21" s="1087">
        <f>Model!AU226</f>
        <v>893</v>
      </c>
      <c r="AV21" s="1087">
        <f>Model!AV226</f>
        <v>951</v>
      </c>
      <c r="AW21" s="1088">
        <f>Model!AW226</f>
        <v>894</v>
      </c>
      <c r="AX21" s="1087">
        <f>Model!AX226</f>
        <v>1041.6278631333359</v>
      </c>
      <c r="AY21" s="1086">
        <f>Model!AY226</f>
        <v>3779.6278631333362</v>
      </c>
      <c r="AZ21" s="1087">
        <f>Model!AZ226</f>
        <v>1523.732525922072</v>
      </c>
      <c r="BA21" s="1087">
        <f>Model!BA226</f>
        <v>1770.9096901181595</v>
      </c>
      <c r="BB21" s="1087">
        <f>Model!BB226</f>
        <v>2382.7089461623441</v>
      </c>
      <c r="BC21" s="1087">
        <f>Model!BC226</f>
        <v>2680.2378488930003</v>
      </c>
      <c r="BD21" s="1086">
        <f>Model!BD226</f>
        <v>8357.589011095577</v>
      </c>
      <c r="BE21" s="1086">
        <f>Model!BE226</f>
        <v>10681.855413661982</v>
      </c>
      <c r="BF21" s="1086">
        <f>Model!BF226</f>
        <v>12946.39626734882</v>
      </c>
      <c r="BG21" s="1086">
        <f>Model!BG226</f>
        <v>15652.538949892129</v>
      </c>
      <c r="BH21" s="1030"/>
    </row>
    <row r="22" spans="1:60" s="75" customFormat="1" x14ac:dyDescent="0.25">
      <c r="A22" s="490" t="str">
        <f>Model!A227</f>
        <v>Energy generation and storage revenue, mm</v>
      </c>
      <c r="B22" s="491"/>
      <c r="C22" s="1080">
        <f>Model!C227</f>
        <v>0</v>
      </c>
      <c r="D22" s="1080">
        <f>Model!D227</f>
        <v>0</v>
      </c>
      <c r="E22" s="1080">
        <f>Model!E227</f>
        <v>0</v>
      </c>
      <c r="F22" s="1080">
        <f>Model!F227</f>
        <v>0</v>
      </c>
      <c r="G22" s="1081">
        <f>Model!G227</f>
        <v>0</v>
      </c>
      <c r="H22" s="1081">
        <f>Model!H227</f>
        <v>0</v>
      </c>
      <c r="I22" s="1081">
        <f>Model!I227</f>
        <v>0</v>
      </c>
      <c r="J22" s="1081">
        <f>Model!J227</f>
        <v>0</v>
      </c>
      <c r="K22" s="1080">
        <f>Model!K227</f>
        <v>0</v>
      </c>
      <c r="L22" s="1081">
        <f>Model!L227</f>
        <v>0</v>
      </c>
      <c r="M22" s="1081">
        <f>Model!M227</f>
        <v>0</v>
      </c>
      <c r="N22" s="1081">
        <f>Model!N227</f>
        <v>0</v>
      </c>
      <c r="O22" s="1081">
        <f>Model!O227</f>
        <v>0</v>
      </c>
      <c r="P22" s="1080">
        <f>Model!P227</f>
        <v>0</v>
      </c>
      <c r="Q22" s="1081">
        <f>Model!Q227</f>
        <v>0</v>
      </c>
      <c r="R22" s="1081">
        <f>Model!R227</f>
        <v>0</v>
      </c>
      <c r="S22" s="1081">
        <f>Model!S227</f>
        <v>0</v>
      </c>
      <c r="T22" s="1081">
        <f>Model!T227</f>
        <v>0</v>
      </c>
      <c r="U22" s="1080">
        <f>Model!U227</f>
        <v>0</v>
      </c>
      <c r="V22" s="1081">
        <f>Model!V227</f>
        <v>0</v>
      </c>
      <c r="W22" s="1081">
        <f>Model!W227</f>
        <v>0</v>
      </c>
      <c r="X22" s="1081">
        <f>Model!X227</f>
        <v>0</v>
      </c>
      <c r="Y22" s="1081">
        <f>Model!Y227</f>
        <v>131.38499999999999</v>
      </c>
      <c r="Z22" s="1080">
        <f>Model!Z227</f>
        <v>181.39400000000001</v>
      </c>
      <c r="AA22" s="1081">
        <f>Model!AA227</f>
        <v>213.94399999999999</v>
      </c>
      <c r="AB22" s="1081">
        <f>Model!AB227</f>
        <v>286.77999999999997</v>
      </c>
      <c r="AC22" s="1081">
        <f>Model!AC227</f>
        <v>317.505</v>
      </c>
      <c r="AD22" s="1081">
        <f>Model!AD227</f>
        <v>298.03699999999998</v>
      </c>
      <c r="AE22" s="1080">
        <f>Model!AE227</f>
        <v>1116.2660000000001</v>
      </c>
      <c r="AF22" s="1081">
        <f>Model!AF227</f>
        <v>410.02199999999999</v>
      </c>
      <c r="AG22" s="1081">
        <f>Model!AG227</f>
        <v>374.40800000000002</v>
      </c>
      <c r="AH22" s="1081">
        <f>Model!AH227</f>
        <v>399.31700000000001</v>
      </c>
      <c r="AI22" s="1081">
        <f>Model!AI227</f>
        <v>371.49699999999984</v>
      </c>
      <c r="AJ22" s="1080">
        <f>Model!AJ227</f>
        <v>1555.2439999999999</v>
      </c>
      <c r="AK22" s="1081">
        <f>Model!AK227</f>
        <v>324.661</v>
      </c>
      <c r="AL22" s="1081">
        <f>Model!AL227</f>
        <v>368.20800000000003</v>
      </c>
      <c r="AM22" s="1081">
        <f>Model!AM227</f>
        <v>402</v>
      </c>
      <c r="AN22" s="1081">
        <f>Model!AN227</f>
        <v>436.13099999999986</v>
      </c>
      <c r="AO22" s="1080">
        <f>Model!AO227</f>
        <v>1531</v>
      </c>
      <c r="AP22" s="1081">
        <f>Model!AP227</f>
        <v>293</v>
      </c>
      <c r="AQ22" s="1081">
        <f>Model!AQ227</f>
        <v>370</v>
      </c>
      <c r="AR22" s="1081">
        <f>Model!AR227</f>
        <v>579</v>
      </c>
      <c r="AS22" s="1081">
        <f>Model!AS227</f>
        <v>752</v>
      </c>
      <c r="AT22" s="1080">
        <f>Model!AT227</f>
        <v>1994</v>
      </c>
      <c r="AU22" s="1081">
        <f>Model!AU227</f>
        <v>494</v>
      </c>
      <c r="AV22" s="1081">
        <f>Model!AV227</f>
        <v>801</v>
      </c>
      <c r="AW22" s="1082">
        <f>Model!AW227</f>
        <v>806</v>
      </c>
      <c r="AX22" s="1081">
        <f>Model!AX227</f>
        <v>977.02499999999998</v>
      </c>
      <c r="AY22" s="1080">
        <f>Model!AY227</f>
        <v>3078.0250000000001</v>
      </c>
      <c r="AZ22" s="1081">
        <f>Model!AZ227</f>
        <v>833.42499999999995</v>
      </c>
      <c r="BA22" s="1081">
        <f>Model!BA227</f>
        <v>1318.4250000000002</v>
      </c>
      <c r="BB22" s="1081">
        <f>Model!BB227</f>
        <v>1333.6250000000002</v>
      </c>
      <c r="BC22" s="1081">
        <f>Model!BC227</f>
        <v>1638.6250000000002</v>
      </c>
      <c r="BD22" s="1080">
        <f>Model!BD227</f>
        <v>5124.1000000000004</v>
      </c>
      <c r="BE22" s="1080">
        <f>Model!BE227</f>
        <v>7385.1000000000022</v>
      </c>
      <c r="BF22" s="1080">
        <f>Model!BF227</f>
        <v>10784.600000000004</v>
      </c>
      <c r="BG22" s="1080">
        <f>Model!BG227</f>
        <v>15891.850000000006</v>
      </c>
      <c r="BH22" s="1030"/>
    </row>
    <row r="23" spans="1:60" s="76" customFormat="1" x14ac:dyDescent="0.25">
      <c r="A23" s="329" t="str">
        <f>Model!A228</f>
        <v>Total Revenue, mm</v>
      </c>
      <c r="B23" s="330"/>
      <c r="C23" s="1083">
        <f>Model!C228</f>
        <v>111.943</v>
      </c>
      <c r="D23" s="1083">
        <f>Model!D228</f>
        <v>116.744</v>
      </c>
      <c r="E23" s="1083">
        <f>Model!E228</f>
        <v>204.24200000000002</v>
      </c>
      <c r="F23" s="1083">
        <f>Model!F228</f>
        <v>413.25600000000003</v>
      </c>
      <c r="G23" s="1084">
        <f>Model!G228</f>
        <v>561.79200000000003</v>
      </c>
      <c r="H23" s="1084">
        <f>Model!H228</f>
        <v>405.13900000000001</v>
      </c>
      <c r="I23" s="1084">
        <f>Model!I228</f>
        <v>431.346</v>
      </c>
      <c r="J23" s="1084">
        <f>Model!J228</f>
        <v>615.21900000000005</v>
      </c>
      <c r="K23" s="1083">
        <f>Model!K228</f>
        <v>2013.4960000000001</v>
      </c>
      <c r="L23" s="1084">
        <f>Model!L228</f>
        <v>620.54200000000003</v>
      </c>
      <c r="M23" s="1084">
        <f>Model!M228</f>
        <v>769.34899999999993</v>
      </c>
      <c r="N23" s="1084">
        <f>Model!N228</f>
        <v>851.80399999999997</v>
      </c>
      <c r="O23" s="1084">
        <f>Model!O228</f>
        <v>956.66099999999994</v>
      </c>
      <c r="P23" s="1083">
        <f>Model!P228</f>
        <v>3198.3560000000002</v>
      </c>
      <c r="Q23" s="1084">
        <f>Model!Q228</f>
        <v>939.88000000000011</v>
      </c>
      <c r="R23" s="1084">
        <f>Model!R228</f>
        <v>954.976</v>
      </c>
      <c r="S23" s="1084">
        <f>Model!S228</f>
        <v>936.78899999999999</v>
      </c>
      <c r="T23" s="1084">
        <f>Model!T228</f>
        <v>1214.3800000000001</v>
      </c>
      <c r="U23" s="1083">
        <f>Model!U228</f>
        <v>4046.0250000000001</v>
      </c>
      <c r="V23" s="1084">
        <f>Model!V228</f>
        <v>1147.048</v>
      </c>
      <c r="W23" s="1084">
        <f>Model!W228</f>
        <v>1270.0170000000001</v>
      </c>
      <c r="X23" s="1084">
        <f>Model!X228</f>
        <v>2298.4359999999997</v>
      </c>
      <c r="Y23" s="1084">
        <f>Model!Y228</f>
        <v>2284.6310000000003</v>
      </c>
      <c r="Z23" s="1083">
        <f>Model!Z228</f>
        <v>7000.1319999999996</v>
      </c>
      <c r="AA23" s="1084">
        <f>Model!AA228</f>
        <v>2696.27</v>
      </c>
      <c r="AB23" s="1084">
        <f>Model!AB228</f>
        <v>2789.5569999999998</v>
      </c>
      <c r="AC23" s="1084">
        <f>Model!AC228</f>
        <v>2984.6750000000002</v>
      </c>
      <c r="AD23" s="1084">
        <f>Model!AD228</f>
        <v>3288.2489999999993</v>
      </c>
      <c r="AE23" s="1083">
        <f>Model!AE228</f>
        <v>11758.751</v>
      </c>
      <c r="AF23" s="1084">
        <f>Model!AF228</f>
        <v>3408.7509999999997</v>
      </c>
      <c r="AG23" s="1084">
        <f>Model!AG228</f>
        <v>4002.2309999999993</v>
      </c>
      <c r="AH23" s="1084">
        <f>Model!AH228</f>
        <v>6824.4130000000005</v>
      </c>
      <c r="AI23" s="1084">
        <f>Model!AI228</f>
        <v>7225.8730000000014</v>
      </c>
      <c r="AJ23" s="1083">
        <f>Model!AJ228</f>
        <v>21461.268</v>
      </c>
      <c r="AK23" s="1084">
        <f>Model!AK228</f>
        <v>4541.4639999999999</v>
      </c>
      <c r="AL23" s="1084">
        <f>Model!AL228</f>
        <v>6349.6759999999995</v>
      </c>
      <c r="AM23" s="1084">
        <f>Model!AM228</f>
        <v>6303</v>
      </c>
      <c r="AN23" s="1084">
        <f>Model!AN228</f>
        <v>7383.8600000000006</v>
      </c>
      <c r="AO23" s="1083">
        <f>Model!AO228</f>
        <v>24578</v>
      </c>
      <c r="AP23" s="1084">
        <f>Model!AP228</f>
        <v>5985</v>
      </c>
      <c r="AQ23" s="1084">
        <f>Model!AQ228</f>
        <v>6036</v>
      </c>
      <c r="AR23" s="1084">
        <f>Model!AR228</f>
        <v>8771</v>
      </c>
      <c r="AS23" s="1084">
        <f>Model!AS228</f>
        <v>10744</v>
      </c>
      <c r="AT23" s="1083">
        <f>Model!AT228</f>
        <v>31536</v>
      </c>
      <c r="AU23" s="1084">
        <f>Model!AU228</f>
        <v>10389</v>
      </c>
      <c r="AV23" s="1084">
        <f>Model!AV228</f>
        <v>11958</v>
      </c>
      <c r="AW23" s="1085">
        <f>Model!AW228</f>
        <v>13757</v>
      </c>
      <c r="AX23" s="1084">
        <f>Model!AX228</f>
        <v>16899.050907895275</v>
      </c>
      <c r="AY23" s="1083">
        <f>Model!AY228</f>
        <v>53003.050907895275</v>
      </c>
      <c r="AZ23" s="1084">
        <f>Model!AZ228</f>
        <v>21403.814099947969</v>
      </c>
      <c r="BA23" s="1084">
        <f>Model!BA228</f>
        <v>25225.705816595149</v>
      </c>
      <c r="BB23" s="1084">
        <f>Model!BB228</f>
        <v>30190.877792410611</v>
      </c>
      <c r="BC23" s="1084">
        <f>Model!BC228</f>
        <v>34099.283392148565</v>
      </c>
      <c r="BD23" s="1083">
        <f>Model!BD228</f>
        <v>110919.68110110231</v>
      </c>
      <c r="BE23" s="1083">
        <f>Model!BE228</f>
        <v>136754.23778768402</v>
      </c>
      <c r="BF23" s="1083">
        <f>Model!BF228</f>
        <v>167579.84368233572</v>
      </c>
      <c r="BG23" s="1083">
        <f>Model!BG228</f>
        <v>205461.48839313802</v>
      </c>
      <c r="BH23" s="1032"/>
    </row>
    <row r="24" spans="1:60" s="77" customFormat="1" x14ac:dyDescent="0.25">
      <c r="A24" s="335"/>
      <c r="B24" s="333"/>
      <c r="C24" s="131"/>
      <c r="D24" s="131"/>
      <c r="E24" s="131"/>
      <c r="F24" s="131"/>
      <c r="G24" s="132"/>
      <c r="H24" s="132"/>
      <c r="I24" s="132"/>
      <c r="J24" s="132"/>
      <c r="K24" s="131"/>
      <c r="L24" s="132"/>
      <c r="M24" s="132"/>
      <c r="N24" s="132"/>
      <c r="O24" s="132"/>
      <c r="P24" s="131"/>
      <c r="Q24" s="132"/>
      <c r="R24" s="132"/>
      <c r="S24" s="132"/>
      <c r="T24" s="132"/>
      <c r="U24" s="131"/>
      <c r="V24" s="132"/>
      <c r="W24" s="132"/>
      <c r="X24" s="132"/>
      <c r="Y24" s="132"/>
      <c r="Z24" s="131"/>
      <c r="AA24" s="132"/>
      <c r="AB24" s="132"/>
      <c r="AC24" s="132"/>
      <c r="AD24" s="132"/>
      <c r="AE24" s="131"/>
      <c r="AF24" s="132"/>
      <c r="AG24" s="132"/>
      <c r="AH24" s="132"/>
      <c r="AI24" s="132"/>
      <c r="AJ24" s="131"/>
      <c r="AK24" s="132"/>
      <c r="AL24" s="132"/>
      <c r="AM24" s="132"/>
      <c r="AN24" s="132"/>
      <c r="AO24" s="131"/>
      <c r="AP24" s="132"/>
      <c r="AQ24" s="132"/>
      <c r="AR24" s="132"/>
      <c r="AS24" s="132"/>
      <c r="AT24" s="131"/>
      <c r="AU24" s="132"/>
      <c r="AV24" s="132"/>
      <c r="AW24" s="759"/>
      <c r="AX24" s="132"/>
      <c r="AY24" s="131"/>
      <c r="AZ24" s="132"/>
      <c r="BA24" s="132"/>
      <c r="BB24" s="132"/>
      <c r="BC24" s="132"/>
      <c r="BD24" s="131"/>
      <c r="BE24" s="131"/>
      <c r="BF24" s="131"/>
      <c r="BG24" s="131"/>
      <c r="BH24" s="299"/>
    </row>
    <row r="25" spans="1:60" s="108" customFormat="1" x14ac:dyDescent="0.25">
      <c r="A25" s="336" t="str">
        <f>Model!A10</f>
        <v>Total Production, units</v>
      </c>
      <c r="B25" s="951"/>
      <c r="C25" s="952">
        <f>Model!C10</f>
        <v>0</v>
      </c>
      <c r="D25" s="952">
        <f>Model!D10</f>
        <v>0</v>
      </c>
      <c r="E25" s="952">
        <f>Model!E10</f>
        <v>0</v>
      </c>
      <c r="F25" s="952">
        <f>Model!F10</f>
        <v>20000</v>
      </c>
      <c r="G25" s="953">
        <f>Model!G10</f>
        <v>5142.8571428571431</v>
      </c>
      <c r="H25" s="953">
        <f>Model!H10</f>
        <v>6500</v>
      </c>
      <c r="I25" s="953">
        <f>Model!I10</f>
        <v>7228.5714285714284</v>
      </c>
      <c r="J25" s="953">
        <f>Model!J10</f>
        <v>6587</v>
      </c>
      <c r="K25" s="952">
        <f>Model!K10</f>
        <v>25458.428571428572</v>
      </c>
      <c r="L25" s="953">
        <f>Model!L10</f>
        <v>7535</v>
      </c>
      <c r="M25" s="953">
        <f>Model!M10</f>
        <v>8763</v>
      </c>
      <c r="N25" s="953">
        <f>Model!N10</f>
        <v>7075</v>
      </c>
      <c r="O25" s="953">
        <f>Model!O10</f>
        <v>11627</v>
      </c>
      <c r="P25" s="952">
        <f>Model!P10</f>
        <v>35000</v>
      </c>
      <c r="Q25" s="953">
        <f>Model!Q10</f>
        <v>11160</v>
      </c>
      <c r="R25" s="953">
        <f>Model!R10</f>
        <v>12807</v>
      </c>
      <c r="S25" s="953">
        <f>Model!S10</f>
        <v>13091</v>
      </c>
      <c r="T25" s="953">
        <f>Model!T10</f>
        <v>14037</v>
      </c>
      <c r="U25" s="952">
        <f>Model!U10</f>
        <v>51095</v>
      </c>
      <c r="V25" s="953">
        <f>Model!V10</f>
        <v>15510</v>
      </c>
      <c r="W25" s="953">
        <f>Model!W10</f>
        <v>18345</v>
      </c>
      <c r="X25" s="953">
        <f>Model!X10</f>
        <v>25185</v>
      </c>
      <c r="Y25" s="953">
        <f>Model!Y10</f>
        <v>24882</v>
      </c>
      <c r="Z25" s="952">
        <f>Model!Z10</f>
        <v>83922</v>
      </c>
      <c r="AA25" s="953">
        <f>Model!AA10</f>
        <v>25418</v>
      </c>
      <c r="AB25" s="953">
        <f>Model!AB10</f>
        <v>25708</v>
      </c>
      <c r="AC25" s="953">
        <f>Model!AC10</f>
        <v>25336</v>
      </c>
      <c r="AD25" s="953">
        <f>Model!AD10</f>
        <v>24565</v>
      </c>
      <c r="AE25" s="952">
        <f>Model!AE10</f>
        <v>101027</v>
      </c>
      <c r="AF25" s="953">
        <f>Model!AF10</f>
        <v>34494</v>
      </c>
      <c r="AG25" s="953">
        <f>Model!AG10</f>
        <v>53339</v>
      </c>
      <c r="AH25" s="953">
        <f>Model!AH10</f>
        <v>80142</v>
      </c>
      <c r="AI25" s="953">
        <f>Model!AI10</f>
        <v>86555</v>
      </c>
      <c r="AJ25" s="952">
        <f>Model!AJ10</f>
        <v>254530</v>
      </c>
      <c r="AK25" s="953">
        <f>Model!AK10</f>
        <v>77138</v>
      </c>
      <c r="AL25" s="953">
        <f>Model!AL10</f>
        <v>87048</v>
      </c>
      <c r="AM25" s="953">
        <f>Model!AM10</f>
        <v>96155</v>
      </c>
      <c r="AN25" s="953">
        <f>Model!AN10</f>
        <v>104891</v>
      </c>
      <c r="AO25" s="952">
        <f>Model!AO10</f>
        <v>365232</v>
      </c>
      <c r="AP25" s="953">
        <f>Model!AP10</f>
        <v>102672</v>
      </c>
      <c r="AQ25" s="953">
        <f>Model!AQ10</f>
        <v>82272</v>
      </c>
      <c r="AR25" s="953">
        <f>Model!AR10</f>
        <v>145036</v>
      </c>
      <c r="AS25" s="953">
        <f>Model!AS10</f>
        <v>179757</v>
      </c>
      <c r="AT25" s="952">
        <f>Model!AT10</f>
        <v>509737</v>
      </c>
      <c r="AU25" s="953">
        <f>Model!AU10</f>
        <v>180338</v>
      </c>
      <c r="AV25" s="953">
        <f>Model!AV10</f>
        <v>206421</v>
      </c>
      <c r="AW25" s="954">
        <f>Model!AW10</f>
        <v>237823</v>
      </c>
      <c r="AX25" s="953">
        <f>Model!AX10</f>
        <v>305840</v>
      </c>
      <c r="AY25" s="952">
        <f>Model!AY10</f>
        <v>930422</v>
      </c>
      <c r="AZ25" s="953">
        <f>Model!AZ10</f>
        <v>353687.02380952379</v>
      </c>
      <c r="BA25" s="953">
        <f>Model!BA10</f>
        <v>407447.87499999994</v>
      </c>
      <c r="BB25" s="953">
        <f>Model!BB10</f>
        <v>468565.05624999991</v>
      </c>
      <c r="BC25" s="953">
        <f>Model!BC10</f>
        <v>538849.81468749989</v>
      </c>
      <c r="BD25" s="952">
        <f>Model!BD10</f>
        <v>1768549.7697470235</v>
      </c>
      <c r="BE25" s="952">
        <f>Model!BE10</f>
        <v>2054097.1732326513</v>
      </c>
      <c r="BF25" s="952">
        <f>Model!BF10</f>
        <v>2358570.4973621289</v>
      </c>
      <c r="BG25" s="952">
        <f>Model!BG10</f>
        <v>2708419.6172312512</v>
      </c>
      <c r="BH25" s="136"/>
    </row>
    <row r="26" spans="1:60" s="108" customFormat="1" x14ac:dyDescent="0.25">
      <c r="A26" s="336" t="str">
        <f>Model!A99</f>
        <v>Total Deliveries, units</v>
      </c>
      <c r="B26" s="337"/>
      <c r="C26" s="135">
        <f>Model!C99</f>
        <v>0</v>
      </c>
      <c r="D26" s="135">
        <f>Model!D99</f>
        <v>1500</v>
      </c>
      <c r="E26" s="135">
        <f>Model!E99</f>
        <v>650</v>
      </c>
      <c r="F26" s="135">
        <f>Model!F99</f>
        <v>3150</v>
      </c>
      <c r="G26" s="136">
        <f>Model!G99</f>
        <v>4900</v>
      </c>
      <c r="H26" s="136">
        <f>Model!H99</f>
        <v>5150</v>
      </c>
      <c r="I26" s="136">
        <f>Model!I99</f>
        <v>5500</v>
      </c>
      <c r="J26" s="136">
        <f>Model!J99</f>
        <v>6892</v>
      </c>
      <c r="K26" s="135">
        <f>Model!K99</f>
        <v>22442</v>
      </c>
      <c r="L26" s="136">
        <f>Model!L99</f>
        <v>6457</v>
      </c>
      <c r="M26" s="136">
        <f>Model!M99</f>
        <v>7579</v>
      </c>
      <c r="N26" s="136">
        <f>Model!N99</f>
        <v>7785</v>
      </c>
      <c r="O26" s="136">
        <f>Model!O99</f>
        <v>9834</v>
      </c>
      <c r="P26" s="135">
        <f>Model!P99</f>
        <v>31655</v>
      </c>
      <c r="Q26" s="136">
        <f>Model!Q99</f>
        <v>10045</v>
      </c>
      <c r="R26" s="136">
        <f>Model!R99</f>
        <v>11532</v>
      </c>
      <c r="S26" s="136">
        <f>Model!S99</f>
        <v>11603</v>
      </c>
      <c r="T26" s="136">
        <f>Model!T99</f>
        <v>17478</v>
      </c>
      <c r="U26" s="135">
        <f>Model!U99</f>
        <v>50658</v>
      </c>
      <c r="V26" s="136">
        <f>Model!V99</f>
        <v>14820</v>
      </c>
      <c r="W26" s="136">
        <f>Model!W99</f>
        <v>14402</v>
      </c>
      <c r="X26" s="136">
        <f>Model!X99</f>
        <v>24821</v>
      </c>
      <c r="Y26" s="136">
        <f>Model!Y99</f>
        <v>22200</v>
      </c>
      <c r="Z26" s="135">
        <f>Model!Z99</f>
        <v>76243</v>
      </c>
      <c r="AA26" s="136">
        <f>Model!AA99</f>
        <v>25000</v>
      </c>
      <c r="AB26" s="136">
        <f>Model!AB99</f>
        <v>22000</v>
      </c>
      <c r="AC26" s="136">
        <f>Model!AC99</f>
        <v>26137</v>
      </c>
      <c r="AD26" s="136">
        <f>Model!AD99</f>
        <v>29967</v>
      </c>
      <c r="AE26" s="135">
        <f>Model!AE99</f>
        <v>103104</v>
      </c>
      <c r="AF26" s="136">
        <f>Model!AF99</f>
        <v>29997</v>
      </c>
      <c r="AG26" s="136">
        <f>Model!AG99</f>
        <v>40768</v>
      </c>
      <c r="AH26" s="136">
        <f>Model!AH99</f>
        <v>83775</v>
      </c>
      <c r="AI26" s="136">
        <f>Model!AI99</f>
        <v>90966</v>
      </c>
      <c r="AJ26" s="135">
        <f>Model!AJ99</f>
        <v>245506</v>
      </c>
      <c r="AK26" s="136">
        <f>Model!AK99</f>
        <v>63019</v>
      </c>
      <c r="AL26" s="136">
        <f>Model!AL99</f>
        <v>95356</v>
      </c>
      <c r="AM26" s="136">
        <f>Model!AM99</f>
        <v>97186</v>
      </c>
      <c r="AN26" s="136">
        <f>Model!AN99</f>
        <v>112095</v>
      </c>
      <c r="AO26" s="135">
        <f>Model!AO99</f>
        <v>367656</v>
      </c>
      <c r="AP26" s="136">
        <f>Model!AP99</f>
        <v>88496</v>
      </c>
      <c r="AQ26" s="136">
        <f>Model!AQ99</f>
        <v>90891</v>
      </c>
      <c r="AR26" s="136">
        <f>Model!AR99</f>
        <v>139593</v>
      </c>
      <c r="AS26" s="136">
        <f>Model!AS99</f>
        <v>180667</v>
      </c>
      <c r="AT26" s="135">
        <f>Model!AT99</f>
        <v>499647</v>
      </c>
      <c r="AU26" s="136">
        <f>Model!AU99</f>
        <v>184877</v>
      </c>
      <c r="AV26" s="136">
        <f>Model!AV99</f>
        <v>201304</v>
      </c>
      <c r="AW26" s="762">
        <f>Model!AW99</f>
        <v>241391</v>
      </c>
      <c r="AX26" s="136">
        <f>Model!AX99</f>
        <v>308600</v>
      </c>
      <c r="AY26" s="135">
        <f>Model!AY99</f>
        <v>936172</v>
      </c>
      <c r="AZ26" s="136">
        <f>Model!AZ99</f>
        <v>354302.5</v>
      </c>
      <c r="BA26" s="136">
        <f>Model!BA99</f>
        <v>407447.87499999994</v>
      </c>
      <c r="BB26" s="136">
        <f>Model!BB99</f>
        <v>468565.05624999991</v>
      </c>
      <c r="BC26" s="136">
        <f>Model!BC99</f>
        <v>538849.81468749989</v>
      </c>
      <c r="BD26" s="135">
        <f>Model!BD99</f>
        <v>1769165.2459374997</v>
      </c>
      <c r="BE26" s="135">
        <f>Model!BE99</f>
        <v>2051313.0642343746</v>
      </c>
      <c r="BF26" s="135">
        <f>Model!BF99</f>
        <v>2354460.3584164055</v>
      </c>
      <c r="BG26" s="135">
        <f>Model!BG99</f>
        <v>2702624.7801804286</v>
      </c>
      <c r="BH26" s="136"/>
    </row>
    <row r="27" spans="1:60" s="74" customFormat="1" x14ac:dyDescent="0.25">
      <c r="A27" s="338" t="str">
        <f>Model!A113</f>
        <v>Implied Price Per Delivery, k$/delivery</v>
      </c>
      <c r="B27" s="339"/>
      <c r="C27" s="128">
        <f>Model!C113</f>
        <v>0</v>
      </c>
      <c r="D27" s="128">
        <f>Model!D113</f>
        <v>0</v>
      </c>
      <c r="E27" s="128">
        <f>Model!E113</f>
        <v>228.56615384615384</v>
      </c>
      <c r="F27" s="128">
        <f>Model!F113</f>
        <v>122.44412698412698</v>
      </c>
      <c r="G27" s="129">
        <f>Model!G113</f>
        <v>113.30673469387754</v>
      </c>
      <c r="H27" s="129">
        <f>Model!H113</f>
        <v>77.96796116504855</v>
      </c>
      <c r="I27" s="129">
        <f>Model!I113</f>
        <v>78.217454545454544</v>
      </c>
      <c r="J27" s="129">
        <f>Model!J113</f>
        <v>88.632037144515394</v>
      </c>
      <c r="K27" s="128">
        <f>Model!K113</f>
        <v>89.019962570180908</v>
      </c>
      <c r="L27" s="129">
        <f>Model!L113</f>
        <v>91.198853956945953</v>
      </c>
      <c r="M27" s="129">
        <f>Model!M113</f>
        <v>96.032326164401638</v>
      </c>
      <c r="N27" s="129">
        <f>Model!N113</f>
        <v>102.75080282594733</v>
      </c>
      <c r="O27" s="129">
        <f>Model!O113</f>
        <v>90.542607280862313</v>
      </c>
      <c r="P27" s="128">
        <f>Model!P113</f>
        <v>94.993271205180861</v>
      </c>
      <c r="Q27" s="129">
        <f>Model!Q113</f>
        <v>88.931806869089101</v>
      </c>
      <c r="R27" s="129">
        <f>Model!R113</f>
        <v>76.14377384668748</v>
      </c>
      <c r="S27" s="129">
        <f>Model!S113</f>
        <v>73.477117986727563</v>
      </c>
      <c r="T27" s="129">
        <f>Model!T113</f>
        <v>63.909371781668384</v>
      </c>
      <c r="U27" s="128">
        <f>Model!U113</f>
        <v>73.847625251687788</v>
      </c>
      <c r="V27" s="129">
        <f>Model!V113</f>
        <v>69.235087719298249</v>
      </c>
      <c r="W27" s="129">
        <f>Model!W113</f>
        <v>82.061658103041239</v>
      </c>
      <c r="X27" s="129">
        <f>Model!X113</f>
        <v>77.25079569719189</v>
      </c>
      <c r="Y27" s="129">
        <f>Model!Y113</f>
        <v>78.353558558558561</v>
      </c>
      <c r="Z27" s="128">
        <f>Model!Z113</f>
        <v>73.305182115079418</v>
      </c>
      <c r="AA27" s="129">
        <f>Model!AA113</f>
        <v>81.4024</v>
      </c>
      <c r="AB27" s="129">
        <f>Model!AB113</f>
        <v>91.538727272727272</v>
      </c>
      <c r="AC27" s="129">
        <f>Model!AC113</f>
        <v>79.455599341929073</v>
      </c>
      <c r="AD27" s="129">
        <f>Model!AD113</f>
        <v>80.392064604398172</v>
      </c>
      <c r="AE27" s="128">
        <f>Model!AE113</f>
        <v>82.778088144009928</v>
      </c>
      <c r="AF27" s="129">
        <f>Model!AF113</f>
        <v>89.920296377463842</v>
      </c>
      <c r="AG27" s="129">
        <f>Model!AG113</f>
        <v>79.758811891497885</v>
      </c>
      <c r="AH27" s="129">
        <f>Model!AH113</f>
        <v>70.046272240349694</v>
      </c>
      <c r="AI27" s="129">
        <f>Model!AI113</f>
        <v>68.463235883518237</v>
      </c>
      <c r="AJ27" s="128">
        <f>Model!AJ113</f>
        <v>73.385914430344258</v>
      </c>
      <c r="AK27" s="129">
        <f>Model!AK113</f>
        <v>53.405345789541968</v>
      </c>
      <c r="AL27" s="129">
        <f>Model!AL113</f>
        <v>56.681776402806733</v>
      </c>
      <c r="AM27" s="129">
        <f>Model!AM113</f>
        <v>56.730987514188421</v>
      </c>
      <c r="AN27" s="129">
        <f>Model!AN113</f>
        <v>58.214107915968491</v>
      </c>
      <c r="AO27" s="128">
        <f>Model!AO113</f>
        <v>56.566447604882285</v>
      </c>
      <c r="AP27" s="129">
        <f>Model!AP113</f>
        <v>55.09030002912904</v>
      </c>
      <c r="AQ27" s="129">
        <f>Model!AQ113</f>
        <v>52.022048157818389</v>
      </c>
      <c r="AR27" s="129">
        <f>Model!AR113</f>
        <v>53.627516804420466</v>
      </c>
      <c r="AS27" s="129">
        <f>Model!AS113</f>
        <v>51.685016553813362</v>
      </c>
      <c r="AT27" s="128">
        <f>Model!AT113</f>
        <v>52.891694989219154</v>
      </c>
      <c r="AU27" s="129">
        <f>Model!AU113</f>
        <v>47.800321121004231</v>
      </c>
      <c r="AV27" s="129">
        <f>Model!AV113</f>
        <v>50.960323747939107</v>
      </c>
      <c r="AW27" s="758">
        <f>Model!AW113</f>
        <v>50.695714470060025</v>
      </c>
      <c r="AX27" s="129">
        <f>Model!AX113</f>
        <v>49.100765726122695</v>
      </c>
      <c r="AY27" s="128">
        <f>Model!AY113</f>
        <v>49.657215947682808</v>
      </c>
      <c r="AZ27" s="129">
        <f>Model!AZ113</f>
        <v>55.448372500364904</v>
      </c>
      <c r="BA27" s="129">
        <f>Model!BA113</f>
        <v>56.056356122733021</v>
      </c>
      <c r="BB27" s="129">
        <f>Model!BB113</f>
        <v>58.300071640569023</v>
      </c>
      <c r="BC27" s="129">
        <f>Model!BC113</f>
        <v>56.95688824230232</v>
      </c>
      <c r="BD27" s="128">
        <f>Model!BD113</f>
        <v>56.803130627784249</v>
      </c>
      <c r="BE27" s="128">
        <f>Model!BE113</f>
        <v>59.643287159173461</v>
      </c>
      <c r="BF27" s="128">
        <f>Model!BF113</f>
        <v>62.625451517132134</v>
      </c>
      <c r="BG27" s="128">
        <f>Model!BG113</f>
        <v>65.756724092988748</v>
      </c>
      <c r="BH27" s="137"/>
    </row>
    <row r="28" spans="1:60" s="75" customFormat="1" x14ac:dyDescent="0.25">
      <c r="A28" s="327"/>
      <c r="B28" s="340"/>
      <c r="C28" s="1086"/>
      <c r="D28" s="1086"/>
      <c r="E28" s="1086"/>
      <c r="F28" s="1086"/>
      <c r="G28" s="1087"/>
      <c r="H28" s="1087"/>
      <c r="I28" s="1087"/>
      <c r="J28" s="1087"/>
      <c r="K28" s="1086"/>
      <c r="L28" s="1087"/>
      <c r="M28" s="1087"/>
      <c r="N28" s="1087"/>
      <c r="O28" s="1087"/>
      <c r="P28" s="1086"/>
      <c r="Q28" s="1087"/>
      <c r="R28" s="1087"/>
      <c r="S28" s="1087"/>
      <c r="T28" s="1087"/>
      <c r="U28" s="1086"/>
      <c r="V28" s="1087"/>
      <c r="W28" s="1087"/>
      <c r="X28" s="1087"/>
      <c r="Y28" s="1087"/>
      <c r="Z28" s="1086"/>
      <c r="AA28" s="1087"/>
      <c r="AB28" s="1087"/>
      <c r="AC28" s="1087"/>
      <c r="AD28" s="1087"/>
      <c r="AE28" s="1086"/>
      <c r="AF28" s="1087"/>
      <c r="AG28" s="1087"/>
      <c r="AH28" s="1087"/>
      <c r="AI28" s="1087"/>
      <c r="AJ28" s="1086"/>
      <c r="AK28" s="1087"/>
      <c r="AL28" s="1087"/>
      <c r="AM28" s="1087"/>
      <c r="AN28" s="1087"/>
      <c r="AO28" s="1086"/>
      <c r="AP28" s="1087"/>
      <c r="AQ28" s="1087"/>
      <c r="AR28" s="1087"/>
      <c r="AS28" s="1087"/>
      <c r="AT28" s="1086"/>
      <c r="AU28" s="1087"/>
      <c r="AV28" s="1087"/>
      <c r="AW28" s="1088"/>
      <c r="AX28" s="1087"/>
      <c r="AY28" s="1086"/>
      <c r="AZ28" s="1087"/>
      <c r="BA28" s="1087"/>
      <c r="BB28" s="1087"/>
      <c r="BC28" s="1087"/>
      <c r="BD28" s="1086"/>
      <c r="BE28" s="1086"/>
      <c r="BF28" s="1086"/>
      <c r="BG28" s="1086"/>
      <c r="BH28" s="1030"/>
    </row>
    <row r="29" spans="1:60" x14ac:dyDescent="0.25">
      <c r="A29" s="196" t="s">
        <v>384</v>
      </c>
      <c r="B29" s="1033"/>
      <c r="C29" s="1092"/>
      <c r="D29" s="1092"/>
      <c r="E29" s="1092"/>
      <c r="F29" s="1092"/>
      <c r="G29" s="1092"/>
      <c r="H29" s="1092"/>
      <c r="I29" s="1092"/>
      <c r="J29" s="1092"/>
      <c r="K29" s="1092"/>
      <c r="L29" s="1092"/>
      <c r="M29" s="1092"/>
      <c r="N29" s="1092"/>
      <c r="O29" s="1092"/>
      <c r="P29" s="1092"/>
      <c r="Q29" s="1092"/>
      <c r="R29" s="1092"/>
      <c r="S29" s="1092"/>
      <c r="T29" s="1092"/>
      <c r="U29" s="1092"/>
      <c r="V29" s="1092"/>
      <c r="W29" s="1092"/>
      <c r="X29" s="1092"/>
      <c r="Y29" s="1092"/>
      <c r="Z29" s="1092"/>
      <c r="AA29" s="1092"/>
      <c r="AB29" s="1092"/>
      <c r="AC29" s="1092"/>
      <c r="AD29" s="1092"/>
      <c r="AE29" s="1092"/>
      <c r="AF29" s="1092"/>
      <c r="AG29" s="1092"/>
      <c r="AH29" s="1092"/>
      <c r="AI29" s="1092"/>
      <c r="AJ29" s="1092"/>
      <c r="AK29" s="1092"/>
      <c r="AL29" s="1092"/>
      <c r="AM29" s="1092"/>
      <c r="AN29" s="1092"/>
      <c r="AO29" s="1092"/>
      <c r="AP29" s="1092"/>
      <c r="AQ29" s="1092"/>
      <c r="AR29" s="1092"/>
      <c r="AS29" s="1092"/>
      <c r="AT29" s="1092"/>
      <c r="AU29" s="1092"/>
      <c r="AV29" s="1092"/>
      <c r="AW29" s="1093"/>
      <c r="AX29" s="1092"/>
      <c r="AY29" s="1092"/>
      <c r="AZ29" s="1092"/>
      <c r="BA29" s="1092"/>
      <c r="BB29" s="1092"/>
      <c r="BC29" s="1092"/>
      <c r="BD29" s="1092"/>
      <c r="BE29" s="1092"/>
      <c r="BF29" s="1092"/>
      <c r="BG29" s="1092"/>
      <c r="BH29" s="1032"/>
    </row>
    <row r="30" spans="1:60" s="76" customFormat="1" x14ac:dyDescent="0.25">
      <c r="A30" s="326" t="str">
        <f>INDEX(MO_RIS_REV,0,COLUMN())</f>
        <v>Net Revenue</v>
      </c>
      <c r="B30" s="331"/>
      <c r="C30" s="1089">
        <f t="shared" ref="C30:AH30" si="27">INDEX(MO_RIS_REV,0,COLUMN())</f>
        <v>111.943</v>
      </c>
      <c r="D30" s="1089">
        <f t="shared" si="27"/>
        <v>116.744</v>
      </c>
      <c r="E30" s="1089">
        <f t="shared" si="27"/>
        <v>204.24200000000002</v>
      </c>
      <c r="F30" s="1089">
        <f t="shared" si="27"/>
        <v>413.25600000000003</v>
      </c>
      <c r="G30" s="1090">
        <f t="shared" si="27"/>
        <v>561.79200000000003</v>
      </c>
      <c r="H30" s="1090">
        <f t="shared" si="27"/>
        <v>405.13900000000001</v>
      </c>
      <c r="I30" s="1090">
        <f t="shared" si="27"/>
        <v>431.346</v>
      </c>
      <c r="J30" s="1090">
        <f t="shared" si="27"/>
        <v>615.21900000000005</v>
      </c>
      <c r="K30" s="1089">
        <f t="shared" si="27"/>
        <v>2013.4960000000001</v>
      </c>
      <c r="L30" s="1090">
        <f t="shared" si="27"/>
        <v>620.54200000000003</v>
      </c>
      <c r="M30" s="1090">
        <f t="shared" si="27"/>
        <v>769.34899999999993</v>
      </c>
      <c r="N30" s="1090">
        <f t="shared" si="27"/>
        <v>851.80399999999997</v>
      </c>
      <c r="O30" s="1090">
        <f t="shared" si="27"/>
        <v>956.66099999999994</v>
      </c>
      <c r="P30" s="1089">
        <f t="shared" si="27"/>
        <v>3198.3560000000002</v>
      </c>
      <c r="Q30" s="1090">
        <f t="shared" si="27"/>
        <v>939.88000000000011</v>
      </c>
      <c r="R30" s="1090">
        <f t="shared" si="27"/>
        <v>954.976</v>
      </c>
      <c r="S30" s="1090">
        <f t="shared" si="27"/>
        <v>936.78899999999999</v>
      </c>
      <c r="T30" s="1090">
        <f t="shared" si="27"/>
        <v>1214.3800000000001</v>
      </c>
      <c r="U30" s="1089">
        <f t="shared" si="27"/>
        <v>4046.0250000000001</v>
      </c>
      <c r="V30" s="1090">
        <f t="shared" si="27"/>
        <v>1147.048</v>
      </c>
      <c r="W30" s="1090">
        <f t="shared" si="27"/>
        <v>1270.0170000000001</v>
      </c>
      <c r="X30" s="1090">
        <f t="shared" si="27"/>
        <v>2298.4359999999997</v>
      </c>
      <c r="Y30" s="1090">
        <f t="shared" si="27"/>
        <v>2284.6309999999999</v>
      </c>
      <c r="Z30" s="1089">
        <f t="shared" si="27"/>
        <v>7000.1319999999996</v>
      </c>
      <c r="AA30" s="1090">
        <f t="shared" si="27"/>
        <v>2696.27</v>
      </c>
      <c r="AB30" s="1090">
        <f t="shared" si="27"/>
        <v>2789.5569999999998</v>
      </c>
      <c r="AC30" s="1090">
        <f t="shared" si="27"/>
        <v>2984.6750000000002</v>
      </c>
      <c r="AD30" s="1090">
        <f t="shared" si="27"/>
        <v>3288.2489999999993</v>
      </c>
      <c r="AE30" s="1089">
        <f t="shared" si="27"/>
        <v>11758.751</v>
      </c>
      <c r="AF30" s="1090">
        <f t="shared" si="27"/>
        <v>3408.7509999999997</v>
      </c>
      <c r="AG30" s="1090">
        <f t="shared" si="27"/>
        <v>4002.2309999999993</v>
      </c>
      <c r="AH30" s="1090">
        <f t="shared" si="27"/>
        <v>6824.4130000000005</v>
      </c>
      <c r="AI30" s="1090">
        <f t="shared" ref="AI30:AY30" si="28">INDEX(MO_RIS_REV,0,COLUMN())</f>
        <v>7225.8730000000005</v>
      </c>
      <c r="AJ30" s="1089">
        <f t="shared" si="28"/>
        <v>21461.268</v>
      </c>
      <c r="AK30" s="1090">
        <f t="shared" si="28"/>
        <v>4541.4639999999999</v>
      </c>
      <c r="AL30" s="1090">
        <f t="shared" si="28"/>
        <v>6349.6759999999995</v>
      </c>
      <c r="AM30" s="1090">
        <f t="shared" si="28"/>
        <v>6303</v>
      </c>
      <c r="AN30" s="1090">
        <f t="shared" si="28"/>
        <v>7383.86</v>
      </c>
      <c r="AO30" s="1089">
        <f t="shared" si="28"/>
        <v>24578</v>
      </c>
      <c r="AP30" s="1090">
        <f t="shared" si="28"/>
        <v>5985</v>
      </c>
      <c r="AQ30" s="1090">
        <f t="shared" si="28"/>
        <v>6036</v>
      </c>
      <c r="AR30" s="1090">
        <f>INDEX(MO_RIS_REV,0,COLUMN())</f>
        <v>8771</v>
      </c>
      <c r="AS30" s="1090">
        <f>INDEX(MO_RIS_REV,0,COLUMN())</f>
        <v>10744</v>
      </c>
      <c r="AT30" s="1089">
        <f>INDEX(MO_RIS_REV,0,COLUMN())</f>
        <v>31536</v>
      </c>
      <c r="AU30" s="1090">
        <f t="shared" si="28"/>
        <v>10389</v>
      </c>
      <c r="AV30" s="1090">
        <f>INDEX(MO_RIS_REV,0,COLUMN())</f>
        <v>11958</v>
      </c>
      <c r="AW30" s="1091">
        <f>INDEX(MO_RIS_REV,0,COLUMN())</f>
        <v>13757</v>
      </c>
      <c r="AX30" s="1090">
        <f t="shared" si="28"/>
        <v>16899.050907895275</v>
      </c>
      <c r="AY30" s="1089">
        <f t="shared" si="28"/>
        <v>53003.050907895275</v>
      </c>
      <c r="AZ30" s="1090">
        <f t="shared" ref="AZ30:BG30" si="29">INDEX(MO_RIS_REV,0,COLUMN())</f>
        <v>21403.814099947969</v>
      </c>
      <c r="BA30" s="1090">
        <f t="shared" si="29"/>
        <v>25225.705816595149</v>
      </c>
      <c r="BB30" s="1090">
        <f t="shared" si="29"/>
        <v>30190.877792410611</v>
      </c>
      <c r="BC30" s="1090">
        <f t="shared" si="29"/>
        <v>34099.283392148565</v>
      </c>
      <c r="BD30" s="1089">
        <f t="shared" si="29"/>
        <v>110919.68110110229</v>
      </c>
      <c r="BE30" s="1089">
        <f t="shared" si="29"/>
        <v>136754.23778768402</v>
      </c>
      <c r="BF30" s="1089">
        <f t="shared" si="29"/>
        <v>167579.84368233572</v>
      </c>
      <c r="BG30" s="1089">
        <f t="shared" si="29"/>
        <v>205461.48839313802</v>
      </c>
      <c r="BH30" s="1032"/>
    </row>
    <row r="31" spans="1:60" s="75" customFormat="1" x14ac:dyDescent="0.25">
      <c r="A31" s="327" t="str">
        <f>INDEX(MO_RIS_COGS,0,COLUMN())</f>
        <v>COGS</v>
      </c>
      <c r="B31" s="328"/>
      <c r="C31" s="1086">
        <f t="shared" ref="C31:AH31" si="30">INDEX(MO_RIS_COGS,0,COLUMN())</f>
        <v>102.408</v>
      </c>
      <c r="D31" s="1086">
        <f t="shared" si="30"/>
        <v>86.013000000000005</v>
      </c>
      <c r="E31" s="1086">
        <f t="shared" si="30"/>
        <v>142.64699999999999</v>
      </c>
      <c r="F31" s="1086">
        <f t="shared" si="30"/>
        <v>383.18900000000002</v>
      </c>
      <c r="G31" s="1087">
        <f t="shared" si="30"/>
        <v>465.47199999999998</v>
      </c>
      <c r="H31" s="1087">
        <f t="shared" si="30"/>
        <v>304.65600000000001</v>
      </c>
      <c r="I31" s="1087">
        <f t="shared" si="30"/>
        <v>328.47800000000001</v>
      </c>
      <c r="J31" s="1087">
        <f t="shared" si="30"/>
        <v>458.62799999999999</v>
      </c>
      <c r="K31" s="1086">
        <f t="shared" si="30"/>
        <v>1557.2339999999999</v>
      </c>
      <c r="L31" s="1087">
        <f t="shared" si="30"/>
        <v>465.41400000000004</v>
      </c>
      <c r="M31" s="1087">
        <f t="shared" si="30"/>
        <v>556.35400000000004</v>
      </c>
      <c r="N31" s="1087">
        <f t="shared" si="30"/>
        <v>599.95299999999997</v>
      </c>
      <c r="O31" s="1087">
        <f t="shared" si="30"/>
        <v>694.96400000000006</v>
      </c>
      <c r="P31" s="1086">
        <f t="shared" si="30"/>
        <v>2316.6849999999999</v>
      </c>
      <c r="Q31" s="1087">
        <f t="shared" si="30"/>
        <v>679.80700000000002</v>
      </c>
      <c r="R31" s="1087">
        <f t="shared" si="30"/>
        <v>741.60599999999999</v>
      </c>
      <c r="S31" s="1087">
        <f t="shared" si="30"/>
        <v>705.29300000000001</v>
      </c>
      <c r="T31" s="1087">
        <f t="shared" si="30"/>
        <v>995.81600000000003</v>
      </c>
      <c r="U31" s="1086">
        <f t="shared" si="30"/>
        <v>3122.5219999999999</v>
      </c>
      <c r="V31" s="1087">
        <f t="shared" si="30"/>
        <v>894.58</v>
      </c>
      <c r="W31" s="1087">
        <f t="shared" si="30"/>
        <v>995.24099999999999</v>
      </c>
      <c r="X31" s="1087">
        <f t="shared" si="30"/>
        <v>1661.701</v>
      </c>
      <c r="Y31" s="1087">
        <f t="shared" si="30"/>
        <v>1849.3530000000001</v>
      </c>
      <c r="Z31" s="1086">
        <f t="shared" si="30"/>
        <v>5400.875</v>
      </c>
      <c r="AA31" s="1087">
        <f t="shared" si="30"/>
        <v>2028.3239999999998</v>
      </c>
      <c r="AB31" s="1087">
        <f t="shared" si="30"/>
        <v>2122.942</v>
      </c>
      <c r="AC31" s="1087">
        <f t="shared" si="30"/>
        <v>2535.5349999999999</v>
      </c>
      <c r="AD31" s="1087">
        <f t="shared" si="30"/>
        <v>2849.4630000000002</v>
      </c>
      <c r="AE31" s="1086">
        <f t="shared" si="30"/>
        <v>9536.2639999999992</v>
      </c>
      <c r="AF31" s="1087">
        <f t="shared" si="30"/>
        <v>2952.2249999999999</v>
      </c>
      <c r="AG31" s="1087">
        <f t="shared" si="30"/>
        <v>3383.3010000000004</v>
      </c>
      <c r="AH31" s="1087">
        <f t="shared" si="30"/>
        <v>5300.7480000000005</v>
      </c>
      <c r="AI31" s="1087">
        <f t="shared" ref="AI31:AY31" si="31">INDEX(MO_RIS_COGS,0,COLUMN())</f>
        <v>5782.973</v>
      </c>
      <c r="AJ31" s="1086">
        <f t="shared" si="31"/>
        <v>17419.246999999999</v>
      </c>
      <c r="AK31" s="1087">
        <f t="shared" si="31"/>
        <v>3975.721</v>
      </c>
      <c r="AL31" s="1087">
        <f t="shared" si="31"/>
        <v>5428.63</v>
      </c>
      <c r="AM31" s="1087">
        <f t="shared" si="31"/>
        <v>5112</v>
      </c>
      <c r="AN31" s="1087">
        <f t="shared" si="31"/>
        <v>5992.6490000000003</v>
      </c>
      <c r="AO31" s="1086">
        <f t="shared" si="31"/>
        <v>20509</v>
      </c>
      <c r="AP31" s="1087">
        <f t="shared" si="31"/>
        <v>4751</v>
      </c>
      <c r="AQ31" s="1087">
        <f t="shared" si="31"/>
        <v>4769</v>
      </c>
      <c r="AR31" s="1087">
        <f>INDEX(MO_RIS_COGS,0,COLUMN())</f>
        <v>6708</v>
      </c>
      <c r="AS31" s="1087">
        <f>INDEX(MO_RIS_COGS,0,COLUMN())</f>
        <v>8678</v>
      </c>
      <c r="AT31" s="1086">
        <f>INDEX(MO_RIS_COGS,0,COLUMN())</f>
        <v>24906</v>
      </c>
      <c r="AU31" s="1087">
        <f t="shared" si="31"/>
        <v>8174</v>
      </c>
      <c r="AV31" s="1087">
        <f>INDEX(MO_RIS_COGS,0,COLUMN())</f>
        <v>9074</v>
      </c>
      <c r="AW31" s="1088">
        <f>INDEX(MO_RIS_COGS,0,COLUMN())</f>
        <v>10097</v>
      </c>
      <c r="AX31" s="1087">
        <f t="shared" si="31"/>
        <v>12239.625780955386</v>
      </c>
      <c r="AY31" s="1086">
        <f t="shared" si="31"/>
        <v>39584.625780955386</v>
      </c>
      <c r="AZ31" s="1087">
        <f t="shared" ref="AZ31:BG31" si="32">INDEX(MO_RIS_COGS,0,COLUMN())</f>
        <v>15444.940949923282</v>
      </c>
      <c r="BA31" s="1087">
        <f t="shared" si="32"/>
        <v>18315.097051475943</v>
      </c>
      <c r="BB31" s="1087">
        <f t="shared" si="32"/>
        <v>21679.145808670357</v>
      </c>
      <c r="BC31" s="1087">
        <f t="shared" si="32"/>
        <v>24753.839984157654</v>
      </c>
      <c r="BD31" s="1086">
        <f t="shared" si="32"/>
        <v>80193.023794227236</v>
      </c>
      <c r="BE31" s="1086">
        <f t="shared" si="32"/>
        <v>98965.802949378645</v>
      </c>
      <c r="BF31" s="1086">
        <f t="shared" si="32"/>
        <v>121457.34870903401</v>
      </c>
      <c r="BG31" s="1086">
        <f t="shared" si="32"/>
        <v>149342.44244734797</v>
      </c>
      <c r="BH31" s="1030"/>
    </row>
    <row r="32" spans="1:60" s="75" customFormat="1" x14ac:dyDescent="0.25">
      <c r="A32" s="327" t="str">
        <f>INDEX(MO_RIS_SGA,0,COLUMN())</f>
        <v>SG&amp;A</v>
      </c>
      <c r="B32" s="328"/>
      <c r="C32" s="1086">
        <f t="shared" ref="C32:AH32" si="33">INDEX(MO_RIS_SGA,0,COLUMN())</f>
        <v>42.15</v>
      </c>
      <c r="D32" s="1086">
        <f t="shared" si="33"/>
        <v>84.572999999999993</v>
      </c>
      <c r="E32" s="1086">
        <f t="shared" si="33"/>
        <v>104.102</v>
      </c>
      <c r="F32" s="1086">
        <f t="shared" si="33"/>
        <v>150.37200000000001</v>
      </c>
      <c r="G32" s="1087">
        <f t="shared" si="33"/>
        <v>47.045000000000002</v>
      </c>
      <c r="H32" s="1087">
        <f t="shared" si="33"/>
        <v>59.963000000000001</v>
      </c>
      <c r="I32" s="1087">
        <f t="shared" si="33"/>
        <v>77.070999999999998</v>
      </c>
      <c r="J32" s="1087">
        <f t="shared" si="33"/>
        <v>101.49000000000002</v>
      </c>
      <c r="K32" s="1086">
        <f t="shared" si="33"/>
        <v>285.56900000000002</v>
      </c>
      <c r="L32" s="1087">
        <f t="shared" si="33"/>
        <v>117.551</v>
      </c>
      <c r="M32" s="1087">
        <f t="shared" si="33"/>
        <v>134.03100000000001</v>
      </c>
      <c r="N32" s="1087">
        <f t="shared" si="33"/>
        <v>155.107</v>
      </c>
      <c r="O32" s="1087">
        <f t="shared" si="33"/>
        <v>196.97</v>
      </c>
      <c r="P32" s="1086">
        <f t="shared" si="33"/>
        <v>603.66</v>
      </c>
      <c r="Q32" s="1087">
        <f t="shared" si="33"/>
        <v>195.36500000000001</v>
      </c>
      <c r="R32" s="1087">
        <f t="shared" si="33"/>
        <v>201.846</v>
      </c>
      <c r="S32" s="1087">
        <f t="shared" si="33"/>
        <v>236.36699999999999</v>
      </c>
      <c r="T32" s="1087">
        <f t="shared" si="33"/>
        <v>288.654</v>
      </c>
      <c r="U32" s="1086">
        <f t="shared" si="33"/>
        <v>922.23199999999997</v>
      </c>
      <c r="V32" s="1087">
        <f t="shared" si="33"/>
        <v>318.20999999999998</v>
      </c>
      <c r="W32" s="1087">
        <f t="shared" si="33"/>
        <v>321.15199999999999</v>
      </c>
      <c r="X32" s="1087">
        <f t="shared" si="33"/>
        <v>336.81099999999998</v>
      </c>
      <c r="Y32" s="1087">
        <f t="shared" si="33"/>
        <v>456.01600000000002</v>
      </c>
      <c r="Z32" s="1086">
        <f t="shared" si="33"/>
        <v>1432.1890000000001</v>
      </c>
      <c r="AA32" s="1087">
        <f t="shared" si="33"/>
        <v>603.45500000000004</v>
      </c>
      <c r="AB32" s="1087">
        <f t="shared" si="33"/>
        <v>537.75699999999995</v>
      </c>
      <c r="AC32" s="1087">
        <f t="shared" si="33"/>
        <v>652.99800000000005</v>
      </c>
      <c r="AD32" s="1087">
        <f t="shared" si="33"/>
        <v>682.29</v>
      </c>
      <c r="AE32" s="1086">
        <f t="shared" si="33"/>
        <v>2476.5</v>
      </c>
      <c r="AF32" s="1087">
        <f t="shared" si="33"/>
        <v>686.404</v>
      </c>
      <c r="AG32" s="1087">
        <f t="shared" si="33"/>
        <v>750.75900000000001</v>
      </c>
      <c r="AH32" s="1087">
        <f t="shared" si="33"/>
        <v>729.87599999999998</v>
      </c>
      <c r="AI32" s="1087">
        <f t="shared" ref="AI32:AY32" si="34">INDEX(MO_RIS_SGA,0,COLUMN())</f>
        <v>667.45200000000023</v>
      </c>
      <c r="AJ32" s="1086">
        <f t="shared" si="34"/>
        <v>2834.491</v>
      </c>
      <c r="AK32" s="1087">
        <f t="shared" si="34"/>
        <v>703.92899999999997</v>
      </c>
      <c r="AL32" s="1087">
        <f t="shared" si="34"/>
        <v>647.26099999999997</v>
      </c>
      <c r="AM32" s="1087">
        <f t="shared" si="34"/>
        <v>596</v>
      </c>
      <c r="AN32" s="1087">
        <f t="shared" si="34"/>
        <v>698.81</v>
      </c>
      <c r="AO32" s="1086">
        <f t="shared" si="34"/>
        <v>2646</v>
      </c>
      <c r="AP32" s="1087">
        <f t="shared" si="34"/>
        <v>627</v>
      </c>
      <c r="AQ32" s="1087">
        <f t="shared" si="34"/>
        <v>661</v>
      </c>
      <c r="AR32" s="1087">
        <f>INDEX(MO_RIS_SGA,0,COLUMN())</f>
        <v>888</v>
      </c>
      <c r="AS32" s="1087">
        <f>INDEX(MO_RIS_SGA,0,COLUMN())</f>
        <v>969</v>
      </c>
      <c r="AT32" s="1086">
        <f>INDEX(MO_RIS_SGA,0,COLUMN())</f>
        <v>3145</v>
      </c>
      <c r="AU32" s="1087">
        <f t="shared" si="34"/>
        <v>1056</v>
      </c>
      <c r="AV32" s="1087">
        <f>INDEX(MO_RIS_SGA,0,COLUMN())</f>
        <v>973</v>
      </c>
      <c r="AW32" s="1088">
        <f>INDEX(MO_RIS_SGA,0,COLUMN())</f>
        <v>994</v>
      </c>
      <c r="AX32" s="1087">
        <f t="shared" si="34"/>
        <v>1439.6280077232302</v>
      </c>
      <c r="AY32" s="1086">
        <f t="shared" si="34"/>
        <v>4462.6280077232304</v>
      </c>
      <c r="AZ32" s="1087">
        <f t="shared" ref="AZ32:BG32" si="35">INDEX(MO_RIS_SGA,0,COLUMN())</f>
        <v>1747.5352002943366</v>
      </c>
      <c r="BA32" s="1087">
        <f t="shared" si="35"/>
        <v>2103.0197139870188</v>
      </c>
      <c r="BB32" s="1087">
        <f t="shared" si="35"/>
        <v>2483.3242410088005</v>
      </c>
      <c r="BC32" s="1087">
        <f t="shared" si="35"/>
        <v>2973.1122025964469</v>
      </c>
      <c r="BD32" s="1086">
        <f t="shared" si="35"/>
        <v>9306.9913578866035</v>
      </c>
      <c r="BE32" s="1086">
        <f t="shared" si="35"/>
        <v>11337.9497697385</v>
      </c>
      <c r="BF32" s="1086">
        <f t="shared" si="35"/>
        <v>13726.043350947948</v>
      </c>
      <c r="BG32" s="1086">
        <f t="shared" si="35"/>
        <v>16623.372067391891</v>
      </c>
      <c r="BH32" s="1030"/>
    </row>
    <row r="33" spans="1:60" s="75" customFormat="1" x14ac:dyDescent="0.25">
      <c r="A33" s="327" t="str">
        <f>INDEX(MO_RIS_RD,0,COLUMN())</f>
        <v>R&amp;D</v>
      </c>
      <c r="B33" s="328"/>
      <c r="C33" s="1086">
        <f t="shared" ref="C33:AH33" si="36">INDEX(MO_RIS_RD,0,COLUMN())</f>
        <v>19.282</v>
      </c>
      <c r="D33" s="1086">
        <f t="shared" si="36"/>
        <v>92.995999999999995</v>
      </c>
      <c r="E33" s="1086">
        <f t="shared" si="36"/>
        <v>208.98099999999999</v>
      </c>
      <c r="F33" s="1086">
        <f t="shared" si="36"/>
        <v>273.97800000000001</v>
      </c>
      <c r="G33" s="1087">
        <f t="shared" si="36"/>
        <v>54.859000000000002</v>
      </c>
      <c r="H33" s="1087">
        <f t="shared" si="36"/>
        <v>52.311999999999998</v>
      </c>
      <c r="I33" s="1087">
        <f t="shared" si="36"/>
        <v>56.350999999999999</v>
      </c>
      <c r="J33" s="1087">
        <f t="shared" si="36"/>
        <v>68.454000000000008</v>
      </c>
      <c r="K33" s="1086">
        <f t="shared" si="36"/>
        <v>231.976</v>
      </c>
      <c r="L33" s="1087">
        <f t="shared" si="36"/>
        <v>81.543999999999997</v>
      </c>
      <c r="M33" s="1087">
        <f t="shared" si="36"/>
        <v>107.717</v>
      </c>
      <c r="N33" s="1087">
        <f t="shared" si="36"/>
        <v>135.87299999999999</v>
      </c>
      <c r="O33" s="1087">
        <f t="shared" si="36"/>
        <v>139.565</v>
      </c>
      <c r="P33" s="1086">
        <f t="shared" si="36"/>
        <v>464.7</v>
      </c>
      <c r="Q33" s="1087">
        <f t="shared" si="36"/>
        <v>167.154</v>
      </c>
      <c r="R33" s="1087">
        <f t="shared" si="36"/>
        <v>181.71199999999999</v>
      </c>
      <c r="S33" s="1087">
        <f t="shared" si="36"/>
        <v>178.791</v>
      </c>
      <c r="T33" s="1087">
        <f t="shared" si="36"/>
        <v>190.24299999999999</v>
      </c>
      <c r="U33" s="1086">
        <f t="shared" si="36"/>
        <v>717.9</v>
      </c>
      <c r="V33" s="1087">
        <f t="shared" si="36"/>
        <v>182.482</v>
      </c>
      <c r="W33" s="1087">
        <f t="shared" si="36"/>
        <v>191.66399999999999</v>
      </c>
      <c r="X33" s="1087">
        <f t="shared" si="36"/>
        <v>214.30199999999999</v>
      </c>
      <c r="Y33" s="1087">
        <f t="shared" si="36"/>
        <v>245.96</v>
      </c>
      <c r="Z33" s="1086">
        <f t="shared" si="36"/>
        <v>834.40800000000002</v>
      </c>
      <c r="AA33" s="1087">
        <f t="shared" si="36"/>
        <v>322.04000000000002</v>
      </c>
      <c r="AB33" s="1087">
        <f t="shared" si="36"/>
        <v>369.774</v>
      </c>
      <c r="AC33" s="1087">
        <f t="shared" si="36"/>
        <v>331.62200000000001</v>
      </c>
      <c r="AD33" s="1087">
        <f t="shared" si="36"/>
        <v>354.637</v>
      </c>
      <c r="AE33" s="1086">
        <f t="shared" si="36"/>
        <v>1378.0730000000001</v>
      </c>
      <c r="AF33" s="1087">
        <f t="shared" si="36"/>
        <v>367.096</v>
      </c>
      <c r="AG33" s="1087">
        <f t="shared" si="36"/>
        <v>386.12900000000002</v>
      </c>
      <c r="AH33" s="1087">
        <f t="shared" si="36"/>
        <v>350.84800000000001</v>
      </c>
      <c r="AI33" s="1087">
        <f t="shared" ref="AI33:AY33" si="37">INDEX(MO_RIS_RD,0,COLUMN())</f>
        <v>356.2969999999998</v>
      </c>
      <c r="AJ33" s="1086">
        <f t="shared" si="37"/>
        <v>1460.37</v>
      </c>
      <c r="AK33" s="1087">
        <f t="shared" si="37"/>
        <v>340.17399999999998</v>
      </c>
      <c r="AL33" s="1087">
        <f t="shared" si="37"/>
        <v>323.89800000000002</v>
      </c>
      <c r="AM33" s="1087">
        <f t="shared" si="37"/>
        <v>334</v>
      </c>
      <c r="AN33" s="1087">
        <f t="shared" si="37"/>
        <v>344.928</v>
      </c>
      <c r="AO33" s="1086">
        <f t="shared" si="37"/>
        <v>1343</v>
      </c>
      <c r="AP33" s="1087">
        <f t="shared" si="37"/>
        <v>324</v>
      </c>
      <c r="AQ33" s="1087">
        <f t="shared" si="37"/>
        <v>279</v>
      </c>
      <c r="AR33" s="1087">
        <f>INDEX(MO_RIS_RD,0,COLUMN())</f>
        <v>366</v>
      </c>
      <c r="AS33" s="1087">
        <f>INDEX(MO_RIS_RD,0,COLUMN())</f>
        <v>522</v>
      </c>
      <c r="AT33" s="1086">
        <f>INDEX(MO_RIS_RD,0,COLUMN())</f>
        <v>1491</v>
      </c>
      <c r="AU33" s="1087">
        <f t="shared" si="37"/>
        <v>666</v>
      </c>
      <c r="AV33" s="1087">
        <f>INDEX(MO_RIS_RD,0,COLUMN())</f>
        <v>576</v>
      </c>
      <c r="AW33" s="1088">
        <f>INDEX(MO_RIS_RD,0,COLUMN())</f>
        <v>611</v>
      </c>
      <c r="AX33" s="1087">
        <f t="shared" si="37"/>
        <v>905.53998405560935</v>
      </c>
      <c r="AY33" s="1086">
        <f t="shared" si="37"/>
        <v>2758.5399840556092</v>
      </c>
      <c r="AZ33" s="1087">
        <f t="shared" ref="AZ33:BG33" si="38">INDEX(MO_RIS_RD,0,COLUMN())</f>
        <v>1051.061393810757</v>
      </c>
      <c r="BA33" s="1087">
        <f t="shared" si="38"/>
        <v>1189.8609767690216</v>
      </c>
      <c r="BB33" s="1087">
        <f t="shared" si="38"/>
        <v>1280.5084334944027</v>
      </c>
      <c r="BC33" s="1087">
        <f t="shared" si="38"/>
        <v>1724.9210100737191</v>
      </c>
      <c r="BD33" s="1086">
        <f t="shared" si="38"/>
        <v>5246.3518141478999</v>
      </c>
      <c r="BE33" s="1086">
        <f t="shared" si="38"/>
        <v>6331.5373799629133</v>
      </c>
      <c r="BF33" s="1086">
        <f t="shared" si="38"/>
        <v>7591.1416523955486</v>
      </c>
      <c r="BG33" s="1086">
        <f t="shared" si="38"/>
        <v>9101.6677476316727</v>
      </c>
      <c r="BH33" s="1030"/>
    </row>
    <row r="34" spans="1:60" s="75" customFormat="1" x14ac:dyDescent="0.25">
      <c r="A34" s="490" t="str">
        <f>INDEX(MO_RIS_OTI_Operating,0,COLUMN())</f>
        <v>One-time operating items</v>
      </c>
      <c r="B34" s="491"/>
      <c r="C34" s="1080">
        <f t="shared" ref="C34:AH34" si="39">INDEX(MO_RIS_OTI_Operating,0,COLUMN())</f>
        <v>0</v>
      </c>
      <c r="D34" s="1080">
        <f t="shared" si="39"/>
        <v>0</v>
      </c>
      <c r="E34" s="1080">
        <f t="shared" si="39"/>
        <v>0</v>
      </c>
      <c r="F34" s="1080">
        <f t="shared" si="39"/>
        <v>0</v>
      </c>
      <c r="G34" s="1081">
        <f t="shared" si="39"/>
        <v>0</v>
      </c>
      <c r="H34" s="1081">
        <f t="shared" si="39"/>
        <v>0</v>
      </c>
      <c r="I34" s="1081">
        <f t="shared" si="39"/>
        <v>0</v>
      </c>
      <c r="J34" s="1081">
        <f t="shared" si="39"/>
        <v>0</v>
      </c>
      <c r="K34" s="1080">
        <f t="shared" si="39"/>
        <v>0</v>
      </c>
      <c r="L34" s="1081">
        <f t="shared" si="39"/>
        <v>0</v>
      </c>
      <c r="M34" s="1081">
        <f t="shared" si="39"/>
        <v>0</v>
      </c>
      <c r="N34" s="1081">
        <f t="shared" si="39"/>
        <v>0</v>
      </c>
      <c r="O34" s="1081">
        <f t="shared" si="39"/>
        <v>0</v>
      </c>
      <c r="P34" s="1080">
        <f t="shared" si="39"/>
        <v>0</v>
      </c>
      <c r="Q34" s="1081">
        <f t="shared" si="39"/>
        <v>0</v>
      </c>
      <c r="R34" s="1081">
        <f t="shared" si="39"/>
        <v>0</v>
      </c>
      <c r="S34" s="1081">
        <f t="shared" si="39"/>
        <v>0</v>
      </c>
      <c r="T34" s="1081">
        <f t="shared" si="39"/>
        <v>0</v>
      </c>
      <c r="U34" s="1080">
        <f t="shared" si="39"/>
        <v>0</v>
      </c>
      <c r="V34" s="1081">
        <f t="shared" si="39"/>
        <v>0</v>
      </c>
      <c r="W34" s="1081">
        <f t="shared" si="39"/>
        <v>0</v>
      </c>
      <c r="X34" s="1081">
        <f t="shared" si="39"/>
        <v>0</v>
      </c>
      <c r="Y34" s="1081">
        <f t="shared" si="39"/>
        <v>0</v>
      </c>
      <c r="Z34" s="1080">
        <f t="shared" si="39"/>
        <v>0</v>
      </c>
      <c r="AA34" s="1081">
        <f t="shared" si="39"/>
        <v>0</v>
      </c>
      <c r="AB34" s="1081">
        <f t="shared" si="39"/>
        <v>0</v>
      </c>
      <c r="AC34" s="1081">
        <f t="shared" si="39"/>
        <v>0</v>
      </c>
      <c r="AD34" s="1081">
        <f t="shared" si="39"/>
        <v>0</v>
      </c>
      <c r="AE34" s="1080">
        <f t="shared" si="39"/>
        <v>0</v>
      </c>
      <c r="AF34" s="1081">
        <f t="shared" si="39"/>
        <v>0</v>
      </c>
      <c r="AG34" s="1081">
        <f t="shared" si="39"/>
        <v>103.434</v>
      </c>
      <c r="AH34" s="1081">
        <f t="shared" si="39"/>
        <v>26.184000000000001</v>
      </c>
      <c r="AI34" s="1081">
        <f t="shared" ref="AI34:BG34" si="40">INDEX(MO_RIS_OTI_Operating,0,COLUMN())</f>
        <v>5.6150000000000091</v>
      </c>
      <c r="AJ34" s="1080">
        <f t="shared" si="40"/>
        <v>135.233</v>
      </c>
      <c r="AK34" s="1081">
        <f t="shared" si="40"/>
        <v>43.470999999999997</v>
      </c>
      <c r="AL34" s="1081">
        <f t="shared" si="40"/>
        <v>117.345</v>
      </c>
      <c r="AM34" s="1081">
        <f t="shared" si="40"/>
        <v>0</v>
      </c>
      <c r="AN34" s="1081">
        <f t="shared" si="40"/>
        <v>-11.816000000000003</v>
      </c>
      <c r="AO34" s="1080">
        <f t="shared" si="40"/>
        <v>149</v>
      </c>
      <c r="AP34" s="1081">
        <f t="shared" si="40"/>
        <v>0</v>
      </c>
      <c r="AQ34" s="1081">
        <f t="shared" si="40"/>
        <v>0</v>
      </c>
      <c r="AR34" s="1081">
        <f t="shared" si="40"/>
        <v>0</v>
      </c>
      <c r="AS34" s="1081">
        <f t="shared" si="40"/>
        <v>0</v>
      </c>
      <c r="AT34" s="1080">
        <f t="shared" si="40"/>
        <v>0</v>
      </c>
      <c r="AU34" s="1081">
        <f t="shared" si="40"/>
        <v>-101</v>
      </c>
      <c r="AV34" s="1081">
        <f t="shared" si="40"/>
        <v>23</v>
      </c>
      <c r="AW34" s="1082">
        <f t="shared" si="40"/>
        <v>51</v>
      </c>
      <c r="AX34" s="1081">
        <f t="shared" si="40"/>
        <v>0</v>
      </c>
      <c r="AY34" s="1080">
        <f t="shared" si="40"/>
        <v>-27</v>
      </c>
      <c r="AZ34" s="1081">
        <f t="shared" si="40"/>
        <v>0</v>
      </c>
      <c r="BA34" s="1081">
        <f t="shared" si="40"/>
        <v>0</v>
      </c>
      <c r="BB34" s="1081">
        <f t="shared" si="40"/>
        <v>0</v>
      </c>
      <c r="BC34" s="1081">
        <f t="shared" si="40"/>
        <v>0</v>
      </c>
      <c r="BD34" s="1080">
        <f t="shared" si="40"/>
        <v>0</v>
      </c>
      <c r="BE34" s="1080">
        <f t="shared" si="40"/>
        <v>0</v>
      </c>
      <c r="BF34" s="1080">
        <f t="shared" si="40"/>
        <v>0</v>
      </c>
      <c r="BG34" s="1080">
        <f t="shared" si="40"/>
        <v>0</v>
      </c>
      <c r="BH34" s="1030"/>
    </row>
    <row r="35" spans="1:60" s="76" customFormat="1" x14ac:dyDescent="0.25">
      <c r="A35" s="329" t="str">
        <f>INDEX(MO_RIS_EBIT,0,COLUMN())</f>
        <v>EBIT</v>
      </c>
      <c r="B35" s="330"/>
      <c r="C35" s="1083">
        <f>IFERROR(INDEX(SP_GF_Rev,0,COLUMN()),0)-IFERROR(INDEX(SP_GF_COGS,0,COLUMN()),0)-IFERROR(INDEX(SP_GF_SGA,0,COLUMN()),0)-IFERROR(INDEX(SP_GF_OI_Operating,0,COLUMN()),0)-IFERROR(INDEX(SP_GF_DA_Operating,0,COLUMN()),0)-IFERROR(INDEX(SP_GF_OPEX,0,COLUMN()),0)-IFERROR(INDEX(SP_GF_RD,0,COLUMN()),0)-IFERROR(INDEX(SP_GF_OTI_Operating,0,COLUMN()),0)</f>
        <v>-51.897000000000006</v>
      </c>
      <c r="D35" s="1083">
        <f>IFERROR(INDEX(SP_GF_Rev,0,COLUMN()),0)-IFERROR(INDEX(SP_GF_COGS,0,COLUMN()),0)-IFERROR(INDEX(SP_GF_SGA,0,COLUMN()),0)-IFERROR(INDEX(SP_GF_OI_Operating,0,COLUMN()),0)-IFERROR(INDEX(SP_GF_DA_Operating,0,COLUMN()),0)-IFERROR(INDEX(SP_GF_OPEX,0,COLUMN()),0)-IFERROR(INDEX(SP_GF_RD,0,COLUMN()),0)-IFERROR(INDEX(SP_GF_OTI_Operating,0,COLUMN()),0)</f>
        <v>-146.83799999999999</v>
      </c>
      <c r="E35" s="1083">
        <f>IFERROR(INDEX(SP_GF_Rev,0,COLUMN()),0)-IFERROR(INDEX(SP_GF_COGS,0,COLUMN()),0)-IFERROR(INDEX(SP_GF_SGA,0,COLUMN()),0)-IFERROR(INDEX(SP_GF_OI_Operating,0,COLUMN()),0)-IFERROR(INDEX(SP_GF_DA_Operating,0,COLUMN()),0)-IFERROR(INDEX(SP_GF_OPEX,0,COLUMN()),0)-IFERROR(INDEX(SP_GF_RD,0,COLUMN()),0)-IFERROR(INDEX(SP_GF_OTI_Operating,0,COLUMN()),0)</f>
        <v>-251.48799999999997</v>
      </c>
      <c r="F35" s="1083">
        <f>IFERROR(INDEX(SP_GF_Rev,0,COLUMN()),0)-IFERROR(INDEX(SP_GF_COGS,0,COLUMN()),0)-IFERROR(INDEX(SP_GF_SGA,0,COLUMN()),0)-IFERROR(INDEX(SP_GF_OI_Operating,0,COLUMN()),0)-IFERROR(INDEX(SP_GF_DA_Operating,0,COLUMN()),0)-IFERROR(INDEX(SP_GF_OPEX,0,COLUMN()),0)-IFERROR(INDEX(SP_GF_RD,0,COLUMN()),0)-IFERROR(INDEX(SP_GF_OTI_Operating,0,COLUMN()),0)</f>
        <v>-394.28300000000002</v>
      </c>
      <c r="G35" s="1084">
        <f>IFERROR(INDEX(SP_GF_Rev,0,COLUMN()),0)-IFERROR(INDEX(SP_GF_COGS,0,COLUMN()),0)-IFERROR(INDEX(SP_GF_SGA,0,COLUMN()),0)-IFERROR(INDEX(SP_GF_OI_Operating,0,COLUMN()),0)-IFERROR(INDEX(SP_GF_DA_Operating,0,COLUMN()),0)-IFERROR(INDEX(SP_GF_OPEX,0,COLUMN()),0)-IFERROR(INDEX(SP_GF_RD,0,COLUMN()),0)-IFERROR(INDEX(SP_GF_OTI_Operating,0,COLUMN()),0)</f>
        <v>-5.5839999999999534</v>
      </c>
      <c r="H35" s="1084">
        <f>IFERROR(INDEX(SP_GF_Rev,0,COLUMN()),0)-IFERROR(INDEX(SP_GF_COGS,0,COLUMN()),0)-IFERROR(INDEX(SP_GF_SGA,0,COLUMN()),0)-IFERROR(INDEX(SP_GF_OI_Operating,0,COLUMN()),0)-IFERROR(INDEX(SP_GF_DA_Operating,0,COLUMN()),0)-IFERROR(INDEX(SP_GF_OPEX,0,COLUMN()),0)-IFERROR(INDEX(SP_GF_RD,0,COLUMN()),0)-IFERROR(INDEX(SP_GF_OTI_Operating,0,COLUMN()),0)</f>
        <v>-11.791999999999994</v>
      </c>
      <c r="I35" s="1084">
        <f>IFERROR(INDEX(SP_GF_Rev,0,COLUMN()),0)-IFERROR(INDEX(SP_GF_COGS,0,COLUMN()),0)-IFERROR(INDEX(SP_GF_SGA,0,COLUMN()),0)-IFERROR(INDEX(SP_GF_OI_Operating,0,COLUMN()),0)-IFERROR(INDEX(SP_GF_DA_Operating,0,COLUMN()),0)-IFERROR(INDEX(SP_GF_OPEX,0,COLUMN()),0)-IFERROR(INDEX(SP_GF_RD,0,COLUMN()),0)-IFERROR(INDEX(SP_GF_OTI_Operating,0,COLUMN()),0)</f>
        <v>-30.554000000000002</v>
      </c>
      <c r="J35" s="1084">
        <f>IFERROR(INDEX(SP_GF_Rev,0,COLUMN()),0)-IFERROR(INDEX(SP_GF_COGS,0,COLUMN()),0)-IFERROR(INDEX(SP_GF_SGA,0,COLUMN()),0)-IFERROR(INDEX(SP_GF_OI_Operating,0,COLUMN()),0)-IFERROR(INDEX(SP_GF_DA_Operating,0,COLUMN()),0)-IFERROR(INDEX(SP_GF_OPEX,0,COLUMN()),0)-IFERROR(INDEX(SP_GF_RD,0,COLUMN()),0)-IFERROR(INDEX(SP_GF_OTI_Operating,0,COLUMN()),0)</f>
        <v>-13.352999999999966</v>
      </c>
      <c r="K35" s="1083">
        <f>IFERROR(INDEX(SP_GF_Rev,0,COLUMN()),0)-IFERROR(INDEX(SP_GF_COGS,0,COLUMN()),0)-IFERROR(INDEX(SP_GF_SGA,0,COLUMN()),0)-IFERROR(INDEX(SP_GF_OI_Operating,0,COLUMN()),0)-IFERROR(INDEX(SP_GF_DA_Operating,0,COLUMN()),0)-IFERROR(INDEX(SP_GF_OPEX,0,COLUMN()),0)-IFERROR(INDEX(SP_GF_RD,0,COLUMN()),0)-IFERROR(INDEX(SP_GF_OTI_Operating,0,COLUMN()),0)</f>
        <v>-61.282999999999845</v>
      </c>
      <c r="L35" s="1084">
        <f>IFERROR(INDEX(SP_GF_Rev,0,COLUMN()),0)-IFERROR(INDEX(SP_GF_COGS,0,COLUMN()),0)-IFERROR(INDEX(SP_GF_SGA,0,COLUMN()),0)-IFERROR(INDEX(SP_GF_OI_Operating,0,COLUMN()),0)-IFERROR(INDEX(SP_GF_DA_Operating,0,COLUMN()),0)-IFERROR(INDEX(SP_GF_OPEX,0,COLUMN()),0)-IFERROR(INDEX(SP_GF_RD,0,COLUMN()),0)-IFERROR(INDEX(SP_GF_OTI_Operating,0,COLUMN()),0)</f>
        <v>-43.967000000000013</v>
      </c>
      <c r="M35" s="1084">
        <f>IFERROR(INDEX(SP_GF_Rev,0,COLUMN()),0)-IFERROR(INDEX(SP_GF_COGS,0,COLUMN()),0)-IFERROR(INDEX(SP_GF_SGA,0,COLUMN()),0)-IFERROR(INDEX(SP_GF_OI_Operating,0,COLUMN()),0)-IFERROR(INDEX(SP_GF_DA_Operating,0,COLUMN()),0)-IFERROR(INDEX(SP_GF_OPEX,0,COLUMN()),0)-IFERROR(INDEX(SP_GF_RD,0,COLUMN()),0)-IFERROR(INDEX(SP_GF_OTI_Operating,0,COLUMN()),0)</f>
        <v>-28.753000000000114</v>
      </c>
      <c r="N35" s="1084">
        <f>IFERROR(INDEX(SP_GF_Rev,0,COLUMN()),0)-IFERROR(INDEX(SP_GF_COGS,0,COLUMN()),0)-IFERROR(INDEX(SP_GF_SGA,0,COLUMN()),0)-IFERROR(INDEX(SP_GF_OI_Operating,0,COLUMN()),0)-IFERROR(INDEX(SP_GF_DA_Operating,0,COLUMN()),0)-IFERROR(INDEX(SP_GF_OPEX,0,COLUMN()),0)-IFERROR(INDEX(SP_GF_RD,0,COLUMN()),0)-IFERROR(INDEX(SP_GF_OTI_Operating,0,COLUMN()),0)</f>
        <v>-39.128999999999991</v>
      </c>
      <c r="O35" s="1084">
        <f>IFERROR(INDEX(SP_GF_Rev,0,COLUMN()),0)-IFERROR(INDEX(SP_GF_COGS,0,COLUMN()),0)-IFERROR(INDEX(SP_GF_SGA,0,COLUMN()),0)-IFERROR(INDEX(SP_GF_OI_Operating,0,COLUMN()),0)-IFERROR(INDEX(SP_GF_DA_Operating,0,COLUMN()),0)-IFERROR(INDEX(SP_GF_OPEX,0,COLUMN()),0)-IFERROR(INDEX(SP_GF_RD,0,COLUMN()),0)-IFERROR(INDEX(SP_GF_OTI_Operating,0,COLUMN()),0)</f>
        <v>-74.838000000000108</v>
      </c>
      <c r="P35" s="1083">
        <f>IFERROR(INDEX(SP_GF_Rev,0,COLUMN()),0)-IFERROR(INDEX(SP_GF_COGS,0,COLUMN()),0)-IFERROR(INDEX(SP_GF_SGA,0,COLUMN()),0)-IFERROR(INDEX(SP_GF_OI_Operating,0,COLUMN()),0)-IFERROR(INDEX(SP_GF_DA_Operating,0,COLUMN()),0)-IFERROR(INDEX(SP_GF_OPEX,0,COLUMN()),0)-IFERROR(INDEX(SP_GF_RD,0,COLUMN()),0)-IFERROR(INDEX(SP_GF_OTI_Operating,0,COLUMN()),0)</f>
        <v>-186.68899999999968</v>
      </c>
      <c r="Q35" s="1084">
        <f>IFERROR(INDEX(SP_GF_Rev,0,COLUMN()),0)-IFERROR(INDEX(SP_GF_COGS,0,COLUMN()),0)-IFERROR(INDEX(SP_GF_SGA,0,COLUMN()),0)-IFERROR(INDEX(SP_GF_OI_Operating,0,COLUMN()),0)-IFERROR(INDEX(SP_GF_DA_Operating,0,COLUMN()),0)-IFERROR(INDEX(SP_GF_OPEX,0,COLUMN()),0)-IFERROR(INDEX(SP_GF_RD,0,COLUMN()),0)-IFERROR(INDEX(SP_GF_OTI_Operating,0,COLUMN()),0)</f>
        <v>-102.44599999999991</v>
      </c>
      <c r="R35" s="1084">
        <f>IFERROR(INDEX(SP_GF_Rev,0,COLUMN()),0)-IFERROR(INDEX(SP_GF_COGS,0,COLUMN()),0)-IFERROR(INDEX(SP_GF_SGA,0,COLUMN()),0)-IFERROR(INDEX(SP_GF_OI_Operating,0,COLUMN()),0)-IFERROR(INDEX(SP_GF_DA_Operating,0,COLUMN()),0)-IFERROR(INDEX(SP_GF_OPEX,0,COLUMN()),0)-IFERROR(INDEX(SP_GF_RD,0,COLUMN()),0)-IFERROR(INDEX(SP_GF_OTI_Operating,0,COLUMN()),0)</f>
        <v>-170.18799999999999</v>
      </c>
      <c r="S35" s="1084">
        <f>IFERROR(INDEX(SP_GF_Rev,0,COLUMN()),0)-IFERROR(INDEX(SP_GF_COGS,0,COLUMN()),0)-IFERROR(INDEX(SP_GF_SGA,0,COLUMN()),0)-IFERROR(INDEX(SP_GF_OI_Operating,0,COLUMN()),0)-IFERROR(INDEX(SP_GF_DA_Operating,0,COLUMN()),0)-IFERROR(INDEX(SP_GF_OPEX,0,COLUMN()),0)-IFERROR(INDEX(SP_GF_RD,0,COLUMN()),0)-IFERROR(INDEX(SP_GF_OTI_Operating,0,COLUMN()),0)</f>
        <v>-183.66200000000001</v>
      </c>
      <c r="T35" s="1084">
        <f>IFERROR(INDEX(SP_GF_Rev,0,COLUMN()),0)-IFERROR(INDEX(SP_GF_COGS,0,COLUMN()),0)-IFERROR(INDEX(SP_GF_SGA,0,COLUMN()),0)-IFERROR(INDEX(SP_GF_OI_Operating,0,COLUMN()),0)-IFERROR(INDEX(SP_GF_DA_Operating,0,COLUMN()),0)-IFERROR(INDEX(SP_GF_OPEX,0,COLUMN()),0)-IFERROR(INDEX(SP_GF_RD,0,COLUMN()),0)-IFERROR(INDEX(SP_GF_OTI_Operating,0,COLUMN()),0)</f>
        <v>-260.33299999999991</v>
      </c>
      <c r="U35" s="1083">
        <f>IFERROR(INDEX(SP_GF_Rev,0,COLUMN()),0)-IFERROR(INDEX(SP_GF_COGS,0,COLUMN()),0)-IFERROR(INDEX(SP_GF_SGA,0,COLUMN()),0)-IFERROR(INDEX(SP_GF_OI_Operating,0,COLUMN()),0)-IFERROR(INDEX(SP_GF_DA_Operating,0,COLUMN()),0)-IFERROR(INDEX(SP_GF_OPEX,0,COLUMN()),0)-IFERROR(INDEX(SP_GF_RD,0,COLUMN()),0)-IFERROR(INDEX(SP_GF_OTI_Operating,0,COLUMN()),0)</f>
        <v>-716.62899999999979</v>
      </c>
      <c r="V35" s="1084">
        <f>IFERROR(INDEX(SP_GF_Rev,0,COLUMN()),0)-IFERROR(INDEX(SP_GF_COGS,0,COLUMN()),0)-IFERROR(INDEX(SP_GF_SGA,0,COLUMN()),0)-IFERROR(INDEX(SP_GF_OI_Operating,0,COLUMN()),0)-IFERROR(INDEX(SP_GF_DA_Operating,0,COLUMN()),0)-IFERROR(INDEX(SP_GF_OPEX,0,COLUMN()),0)-IFERROR(INDEX(SP_GF_RD,0,COLUMN()),0)-IFERROR(INDEX(SP_GF_OTI_Operating,0,COLUMN()),0)</f>
        <v>-248.22400000000002</v>
      </c>
      <c r="W35" s="1084">
        <f>IFERROR(INDEX(SP_GF_Rev,0,COLUMN()),0)-IFERROR(INDEX(SP_GF_COGS,0,COLUMN()),0)-IFERROR(INDEX(SP_GF_SGA,0,COLUMN()),0)-IFERROR(INDEX(SP_GF_OI_Operating,0,COLUMN()),0)-IFERROR(INDEX(SP_GF_DA_Operating,0,COLUMN()),0)-IFERROR(INDEX(SP_GF_OPEX,0,COLUMN()),0)-IFERROR(INDEX(SP_GF_RD,0,COLUMN()),0)-IFERROR(INDEX(SP_GF_OTI_Operating,0,COLUMN()),0)</f>
        <v>-238.03999999999991</v>
      </c>
      <c r="X35" s="1084">
        <f>IFERROR(INDEX(SP_GF_Rev,0,COLUMN()),0)-IFERROR(INDEX(SP_GF_COGS,0,COLUMN()),0)-IFERROR(INDEX(SP_GF_SGA,0,COLUMN()),0)-IFERROR(INDEX(SP_GF_OI_Operating,0,COLUMN()),0)-IFERROR(INDEX(SP_GF_DA_Operating,0,COLUMN()),0)-IFERROR(INDEX(SP_GF_OPEX,0,COLUMN()),0)-IFERROR(INDEX(SP_GF_RD,0,COLUMN()),0)-IFERROR(INDEX(SP_GF_OTI_Operating,0,COLUMN()),0)</f>
        <v>85.621999999999701</v>
      </c>
      <c r="Y35" s="1084">
        <f>IFERROR(INDEX(SP_GF_Rev,0,COLUMN()),0)-IFERROR(INDEX(SP_GF_COGS,0,COLUMN()),0)-IFERROR(INDEX(SP_GF_SGA,0,COLUMN()),0)-IFERROR(INDEX(SP_GF_OI_Operating,0,COLUMN()),0)-IFERROR(INDEX(SP_GF_DA_Operating,0,COLUMN()),0)-IFERROR(INDEX(SP_GF_OPEX,0,COLUMN()),0)-IFERROR(INDEX(SP_GF_RD,0,COLUMN()),0)-IFERROR(INDEX(SP_GF_OTI_Operating,0,COLUMN()),0)</f>
        <v>-266.69800000000021</v>
      </c>
      <c r="Z35" s="1083">
        <f>IFERROR(INDEX(SP_GF_Rev,0,COLUMN()),0)-IFERROR(INDEX(SP_GF_COGS,0,COLUMN()),0)-IFERROR(INDEX(SP_GF_SGA,0,COLUMN()),0)-IFERROR(INDEX(SP_GF_OI_Operating,0,COLUMN()),0)-IFERROR(INDEX(SP_GF_DA_Operating,0,COLUMN()),0)-IFERROR(INDEX(SP_GF_OPEX,0,COLUMN()),0)-IFERROR(INDEX(SP_GF_RD,0,COLUMN()),0)-IFERROR(INDEX(SP_GF_OTI_Operating,0,COLUMN()),0)</f>
        <v>-667.34000000000049</v>
      </c>
      <c r="AA35" s="1084">
        <f>IFERROR(INDEX(SP_GF_Rev,0,COLUMN()),0)-IFERROR(INDEX(SP_GF_COGS,0,COLUMN()),0)-IFERROR(INDEX(SP_GF_SGA,0,COLUMN()),0)-IFERROR(INDEX(SP_GF_OI_Operating,0,COLUMN()),0)-IFERROR(INDEX(SP_GF_DA_Operating,0,COLUMN()),0)-IFERROR(INDEX(SP_GF_OPEX,0,COLUMN()),0)-IFERROR(INDEX(SP_GF_RD,0,COLUMN()),0)-IFERROR(INDEX(SP_GF_OTI_Operating,0,COLUMN()),0)</f>
        <v>-257.54899999999992</v>
      </c>
      <c r="AB35" s="1084">
        <f>IFERROR(INDEX(SP_GF_Rev,0,COLUMN()),0)-IFERROR(INDEX(SP_GF_COGS,0,COLUMN()),0)-IFERROR(INDEX(SP_GF_SGA,0,COLUMN()),0)-IFERROR(INDEX(SP_GF_OI_Operating,0,COLUMN()),0)-IFERROR(INDEX(SP_GF_DA_Operating,0,COLUMN()),0)-IFERROR(INDEX(SP_GF_OPEX,0,COLUMN()),0)-IFERROR(INDEX(SP_GF_RD,0,COLUMN()),0)-IFERROR(INDEX(SP_GF_OTI_Operating,0,COLUMN()),0)</f>
        <v>-240.91600000000017</v>
      </c>
      <c r="AC35" s="1084">
        <f>IFERROR(INDEX(SP_GF_Rev,0,COLUMN()),0)-IFERROR(INDEX(SP_GF_COGS,0,COLUMN()),0)-IFERROR(INDEX(SP_GF_SGA,0,COLUMN()),0)-IFERROR(INDEX(SP_GF_OI_Operating,0,COLUMN()),0)-IFERROR(INDEX(SP_GF_DA_Operating,0,COLUMN()),0)-IFERROR(INDEX(SP_GF_OPEX,0,COLUMN()),0)-IFERROR(INDEX(SP_GF_RD,0,COLUMN()),0)-IFERROR(INDEX(SP_GF_OTI_Operating,0,COLUMN()),0)</f>
        <v>-535.47999999999979</v>
      </c>
      <c r="AD35" s="1084">
        <f>IFERROR(INDEX(SP_GF_Rev,0,COLUMN()),0)-IFERROR(INDEX(SP_GF_COGS,0,COLUMN()),0)-IFERROR(INDEX(SP_GF_SGA,0,COLUMN()),0)-IFERROR(INDEX(SP_GF_OI_Operating,0,COLUMN()),0)-IFERROR(INDEX(SP_GF_DA_Operating,0,COLUMN()),0)-IFERROR(INDEX(SP_GF_OPEX,0,COLUMN()),0)-IFERROR(INDEX(SP_GF_RD,0,COLUMN()),0)-IFERROR(INDEX(SP_GF_OTI_Operating,0,COLUMN()),0)</f>
        <v>-598.14100000000076</v>
      </c>
      <c r="AE35" s="1083">
        <f>IFERROR(INDEX(SP_GF_Rev,0,COLUMN()),0)-IFERROR(INDEX(SP_GF_COGS,0,COLUMN()),0)-IFERROR(INDEX(SP_GF_SGA,0,COLUMN()),0)-IFERROR(INDEX(SP_GF_OI_Operating,0,COLUMN()),0)-IFERROR(INDEX(SP_GF_DA_Operating,0,COLUMN()),0)-IFERROR(INDEX(SP_GF_OPEX,0,COLUMN()),0)-IFERROR(INDEX(SP_GF_RD,0,COLUMN()),0)-IFERROR(INDEX(SP_GF_OTI_Operating,0,COLUMN()),0)</f>
        <v>-1632.0859999999991</v>
      </c>
      <c r="AF35" s="1084">
        <f>IFERROR(INDEX(SP_GF_Rev,0,COLUMN()),0)-IFERROR(INDEX(SP_GF_COGS,0,COLUMN()),0)-IFERROR(INDEX(SP_GF_SGA,0,COLUMN()),0)-IFERROR(INDEX(SP_GF_OI_Operating,0,COLUMN()),0)-IFERROR(INDEX(SP_GF_DA_Operating,0,COLUMN()),0)-IFERROR(INDEX(SP_GF_OPEX,0,COLUMN()),0)-IFERROR(INDEX(SP_GF_RD,0,COLUMN()),0)-IFERROR(INDEX(SP_GF_OTI_Operating,0,COLUMN()),0)</f>
        <v>-596.97400000000016</v>
      </c>
      <c r="AG35" s="1084">
        <f>IFERROR(INDEX(SP_GF_Rev,0,COLUMN()),0)-IFERROR(INDEX(SP_GF_COGS,0,COLUMN()),0)-IFERROR(INDEX(SP_GF_SGA,0,COLUMN()),0)-IFERROR(INDEX(SP_GF_OI_Operating,0,COLUMN()),0)-IFERROR(INDEX(SP_GF_DA_Operating,0,COLUMN()),0)-IFERROR(INDEX(SP_GF_OPEX,0,COLUMN()),0)-IFERROR(INDEX(SP_GF_RD,0,COLUMN()),0)-IFERROR(INDEX(SP_GF_OTI_Operating,0,COLUMN()),0)</f>
        <v>-621.39200000000108</v>
      </c>
      <c r="AH35" s="1084">
        <f>IFERROR(INDEX(SP_GF_Rev,0,COLUMN()),0)-IFERROR(INDEX(SP_GF_COGS,0,COLUMN()),0)-IFERROR(INDEX(SP_GF_SGA,0,COLUMN()),0)-IFERROR(INDEX(SP_GF_OI_Operating,0,COLUMN()),0)-IFERROR(INDEX(SP_GF_DA_Operating,0,COLUMN()),0)-IFERROR(INDEX(SP_GF_OPEX,0,COLUMN()),0)-IFERROR(INDEX(SP_GF_RD,0,COLUMN()),0)-IFERROR(INDEX(SP_GF_OTI_Operating,0,COLUMN()),0)</f>
        <v>416.75699999999995</v>
      </c>
      <c r="AI35" s="1084">
        <f>IFERROR(INDEX(SP_GF_Rev,0,COLUMN()),0)-IFERROR(INDEX(SP_GF_COGS,0,COLUMN()),0)-IFERROR(INDEX(SP_GF_SGA,0,COLUMN()),0)-IFERROR(INDEX(SP_GF_OI_Operating,0,COLUMN()),0)-IFERROR(INDEX(SP_GF_DA_Operating,0,COLUMN()),0)-IFERROR(INDEX(SP_GF_OPEX,0,COLUMN()),0)-IFERROR(INDEX(SP_GF_RD,0,COLUMN()),0)-IFERROR(INDEX(SP_GF_OTI_Operating,0,COLUMN()),0)</f>
        <v>413.53600000000051</v>
      </c>
      <c r="AJ35" s="1083">
        <f>IFERROR(INDEX(SP_GF_Rev,0,COLUMN()),0)-IFERROR(INDEX(SP_GF_COGS,0,COLUMN()),0)-IFERROR(INDEX(SP_GF_SGA,0,COLUMN()),0)-IFERROR(INDEX(SP_GF_OI_Operating,0,COLUMN()),0)-IFERROR(INDEX(SP_GF_DA_Operating,0,COLUMN()),0)-IFERROR(INDEX(SP_GF_OPEX,0,COLUMN()),0)-IFERROR(INDEX(SP_GF_RD,0,COLUMN()),0)-IFERROR(INDEX(SP_GF_OTI_Operating,0,COLUMN()),0)</f>
        <v>-388.07299999999924</v>
      </c>
      <c r="AK35" s="1084">
        <f>IFERROR(INDEX(SP_GF_Rev,0,COLUMN()),0)-IFERROR(INDEX(SP_GF_COGS,0,COLUMN()),0)-IFERROR(INDEX(SP_GF_SGA,0,COLUMN()),0)-IFERROR(INDEX(SP_GF_OI_Operating,0,COLUMN()),0)-IFERROR(INDEX(SP_GF_DA_Operating,0,COLUMN()),0)-IFERROR(INDEX(SP_GF_OPEX,0,COLUMN()),0)-IFERROR(INDEX(SP_GF_RD,0,COLUMN()),0)-IFERROR(INDEX(SP_GF_OTI_Operating,0,COLUMN()),0)</f>
        <v>-521.83100000000002</v>
      </c>
      <c r="AL35" s="1084">
        <f>IFERROR(INDEX(SP_GF_Rev,0,COLUMN()),0)-IFERROR(INDEX(SP_GF_COGS,0,COLUMN()),0)-IFERROR(INDEX(SP_GF_SGA,0,COLUMN()),0)-IFERROR(INDEX(SP_GF_OI_Operating,0,COLUMN()),0)-IFERROR(INDEX(SP_GF_DA_Operating,0,COLUMN()),0)-IFERROR(INDEX(SP_GF_OPEX,0,COLUMN()),0)-IFERROR(INDEX(SP_GF_RD,0,COLUMN()),0)-IFERROR(INDEX(SP_GF_OTI_Operating,0,COLUMN()),0)</f>
        <v>-167.45800000000062</v>
      </c>
      <c r="AM35" s="1084">
        <f>IFERROR(INDEX(SP_GF_Rev,0,COLUMN()),0)-IFERROR(INDEX(SP_GF_COGS,0,COLUMN()),0)-IFERROR(INDEX(SP_GF_SGA,0,COLUMN()),0)-IFERROR(INDEX(SP_GF_OI_Operating,0,COLUMN()),0)-IFERROR(INDEX(SP_GF_DA_Operating,0,COLUMN()),0)-IFERROR(INDEX(SP_GF_OPEX,0,COLUMN()),0)-IFERROR(INDEX(SP_GF_RD,0,COLUMN()),0)-IFERROR(INDEX(SP_GF_OTI_Operating,0,COLUMN()),0)</f>
        <v>261</v>
      </c>
      <c r="AN35" s="1084">
        <f>IFERROR(INDEX(SP_GF_Rev,0,COLUMN()),0)-IFERROR(INDEX(SP_GF_COGS,0,COLUMN()),0)-IFERROR(INDEX(SP_GF_SGA,0,COLUMN()),0)-IFERROR(INDEX(SP_GF_OI_Operating,0,COLUMN()),0)-IFERROR(INDEX(SP_GF_DA_Operating,0,COLUMN()),0)-IFERROR(INDEX(SP_GF_OPEX,0,COLUMN()),0)-IFERROR(INDEX(SP_GF_RD,0,COLUMN()),0)-IFERROR(INDEX(SP_GF_OTI_Operating,0,COLUMN()),0)</f>
        <v>359.28899999999942</v>
      </c>
      <c r="AO35" s="1083">
        <f>IFERROR(INDEX(SP_GF_Rev,0,COLUMN()),0)-IFERROR(INDEX(SP_GF_COGS,0,COLUMN()),0)-IFERROR(INDEX(SP_GF_SGA,0,COLUMN()),0)-IFERROR(INDEX(SP_GF_OI_Operating,0,COLUMN()),0)-IFERROR(INDEX(SP_GF_DA_Operating,0,COLUMN()),0)-IFERROR(INDEX(SP_GF_OPEX,0,COLUMN()),0)-IFERROR(INDEX(SP_GF_RD,0,COLUMN()),0)-IFERROR(INDEX(SP_GF_OTI_Operating,0,COLUMN()),0)</f>
        <v>-69</v>
      </c>
      <c r="AP35" s="1084">
        <f>IFERROR(INDEX(SP_GF_Rev,0,COLUMN()),0)-IFERROR(INDEX(SP_GF_COGS,0,COLUMN()),0)-IFERROR(INDEX(SP_GF_SGA,0,COLUMN()),0)-IFERROR(INDEX(SP_GF_OI_Operating,0,COLUMN()),0)-IFERROR(INDEX(SP_GF_DA_Operating,0,COLUMN()),0)-IFERROR(INDEX(SP_GF_OPEX,0,COLUMN()),0)-IFERROR(INDEX(SP_GF_RD,0,COLUMN()),0)-IFERROR(INDEX(SP_GF_OTI_Operating,0,COLUMN()),0)</f>
        <v>283</v>
      </c>
      <c r="AQ35" s="1084">
        <f>IFERROR(INDEX(SP_GF_Rev,0,COLUMN()),0)-IFERROR(INDEX(SP_GF_COGS,0,COLUMN()),0)-IFERROR(INDEX(SP_GF_SGA,0,COLUMN()),0)-IFERROR(INDEX(SP_GF_OI_Operating,0,COLUMN()),0)-IFERROR(INDEX(SP_GF_DA_Operating,0,COLUMN()),0)-IFERROR(INDEX(SP_GF_OPEX,0,COLUMN()),0)-IFERROR(INDEX(SP_GF_RD,0,COLUMN()),0)-IFERROR(INDEX(SP_GF_OTI_Operating,0,COLUMN()),0)</f>
        <v>327</v>
      </c>
      <c r="AR35" s="1084">
        <f>IFERROR(INDEX(SP_GF_Rev,0,COLUMN()),0)-IFERROR(INDEX(SP_GF_COGS,0,COLUMN()),0)-IFERROR(INDEX(SP_GF_SGA,0,COLUMN()),0)-IFERROR(INDEX(SP_GF_OI_Operating,0,COLUMN()),0)-IFERROR(INDEX(SP_GF_DA_Operating,0,COLUMN()),0)-IFERROR(INDEX(SP_GF_OPEX,0,COLUMN()),0)-IFERROR(INDEX(SP_GF_RD,0,COLUMN()),0)-IFERROR(INDEX(SP_GF_OTI_Operating,0,COLUMN()),0)</f>
        <v>809</v>
      </c>
      <c r="AS35" s="1084">
        <f>IFERROR(INDEX(SP_GF_Rev,0,COLUMN()),0)-IFERROR(INDEX(SP_GF_COGS,0,COLUMN()),0)-IFERROR(INDEX(SP_GF_SGA,0,COLUMN()),0)-IFERROR(INDEX(SP_GF_OI_Operating,0,COLUMN()),0)-IFERROR(INDEX(SP_GF_DA_Operating,0,COLUMN()),0)-IFERROR(INDEX(SP_GF_OPEX,0,COLUMN()),0)-IFERROR(INDEX(SP_GF_RD,0,COLUMN()),0)-IFERROR(INDEX(SP_GF_OTI_Operating,0,COLUMN()),0)</f>
        <v>575</v>
      </c>
      <c r="AT35" s="1083">
        <f>IFERROR(INDEX(SP_GF_Rev,0,COLUMN()),0)-IFERROR(INDEX(SP_GF_COGS,0,COLUMN()),0)-IFERROR(INDEX(SP_GF_SGA,0,COLUMN()),0)-IFERROR(INDEX(SP_GF_OI_Operating,0,COLUMN()),0)-IFERROR(INDEX(SP_GF_DA_Operating,0,COLUMN()),0)-IFERROR(INDEX(SP_GF_OPEX,0,COLUMN()),0)-IFERROR(INDEX(SP_GF_RD,0,COLUMN()),0)-IFERROR(INDEX(SP_GF_OTI_Operating,0,COLUMN()),0)</f>
        <v>1994</v>
      </c>
      <c r="AU35" s="1084">
        <f>IFERROR(INDEX(SP_GF_Rev,0,COLUMN()),0)-IFERROR(INDEX(SP_GF_COGS,0,COLUMN()),0)-IFERROR(INDEX(SP_GF_SGA,0,COLUMN()),0)-IFERROR(INDEX(SP_GF_OI_Operating,0,COLUMN()),0)-IFERROR(INDEX(SP_GF_DA_Operating,0,COLUMN()),0)-IFERROR(INDEX(SP_GF_OPEX,0,COLUMN()),0)-IFERROR(INDEX(SP_GF_RD,0,COLUMN()),0)-IFERROR(INDEX(SP_GF_OTI_Operating,0,COLUMN()),0)</f>
        <v>594</v>
      </c>
      <c r="AV35" s="1084">
        <f>IFERROR(INDEX(SP_GF_Rev,0,COLUMN()),0)-IFERROR(INDEX(SP_GF_COGS,0,COLUMN()),0)-IFERROR(INDEX(SP_GF_SGA,0,COLUMN()),0)-IFERROR(INDEX(SP_GF_OI_Operating,0,COLUMN()),0)-IFERROR(INDEX(SP_GF_DA_Operating,0,COLUMN()),0)-IFERROR(INDEX(SP_GF_OPEX,0,COLUMN()),0)-IFERROR(INDEX(SP_GF_RD,0,COLUMN()),0)-IFERROR(INDEX(SP_GF_OTI_Operating,0,COLUMN()),0)</f>
        <v>1312</v>
      </c>
      <c r="AW35" s="1085">
        <f>IFERROR(INDEX(SP_GF_Rev,0,COLUMN()),0)-IFERROR(INDEX(SP_GF_COGS,0,COLUMN()),0)-IFERROR(INDEX(SP_GF_SGA,0,COLUMN()),0)-IFERROR(INDEX(SP_GF_OI_Operating,0,COLUMN()),0)-IFERROR(INDEX(SP_GF_DA_Operating,0,COLUMN()),0)-IFERROR(INDEX(SP_GF_OPEX,0,COLUMN()),0)-IFERROR(INDEX(SP_GF_RD,0,COLUMN()),0)-IFERROR(INDEX(SP_GF_OTI_Operating,0,COLUMN()),0)</f>
        <v>2004</v>
      </c>
      <c r="AX35" s="1084">
        <f>IFERROR(INDEX(SP_GF_Rev,0,COLUMN()),0)-IFERROR(INDEX(SP_GF_COGS,0,COLUMN()),0)-IFERROR(INDEX(SP_GF_SGA,0,COLUMN()),0)-IFERROR(INDEX(SP_GF_OI_Operating,0,COLUMN()),0)-IFERROR(INDEX(SP_GF_DA_Operating,0,COLUMN()),0)-IFERROR(INDEX(SP_GF_OPEX,0,COLUMN()),0)-IFERROR(INDEX(SP_GF_RD,0,COLUMN()),0)-IFERROR(INDEX(SP_GF_OTI_Operating,0,COLUMN()),0)</f>
        <v>2314.2571351610486</v>
      </c>
      <c r="AY35" s="1083">
        <f>IFERROR(INDEX(SP_GF_Rev,0,COLUMN()),0)-IFERROR(INDEX(SP_GF_COGS,0,COLUMN()),0)-IFERROR(INDEX(SP_GF_SGA,0,COLUMN()),0)-IFERROR(INDEX(SP_GF_OI_Operating,0,COLUMN()),0)-IFERROR(INDEX(SP_GF_DA_Operating,0,COLUMN()),0)-IFERROR(INDEX(SP_GF_OPEX,0,COLUMN()),0)-IFERROR(INDEX(SP_GF_RD,0,COLUMN()),0)-IFERROR(INDEX(SP_GF_OTI_Operating,0,COLUMN()),0)</f>
        <v>6224.2571351610495</v>
      </c>
      <c r="AZ35" s="1084">
        <f>IFERROR(INDEX(SP_GF_Rev,0,COLUMN()),0)-IFERROR(INDEX(SP_GF_COGS,0,COLUMN()),0)-IFERROR(INDEX(SP_GF_SGA,0,COLUMN()),0)-IFERROR(INDEX(SP_GF_OI_Operating,0,COLUMN()),0)-IFERROR(INDEX(SP_GF_DA_Operating,0,COLUMN()),0)-IFERROR(INDEX(SP_GF_OPEX,0,COLUMN()),0)-IFERROR(INDEX(SP_GF_RD,0,COLUMN()),0)-IFERROR(INDEX(SP_GF_OTI_Operating,0,COLUMN()),0)</f>
        <v>3160.2765559195932</v>
      </c>
      <c r="BA35" s="1084">
        <f>IFERROR(INDEX(SP_GF_Rev,0,COLUMN()),0)-IFERROR(INDEX(SP_GF_COGS,0,COLUMN()),0)-IFERROR(INDEX(SP_GF_SGA,0,COLUMN()),0)-IFERROR(INDEX(SP_GF_OI_Operating,0,COLUMN()),0)-IFERROR(INDEX(SP_GF_DA_Operating,0,COLUMN()),0)-IFERROR(INDEX(SP_GF_OPEX,0,COLUMN()),0)-IFERROR(INDEX(SP_GF_RD,0,COLUMN()),0)-IFERROR(INDEX(SP_GF_OTI_Operating,0,COLUMN()),0)</f>
        <v>3617.7280743631663</v>
      </c>
      <c r="BB35" s="1084">
        <f>IFERROR(INDEX(SP_GF_Rev,0,COLUMN()),0)-IFERROR(INDEX(SP_GF_COGS,0,COLUMN()),0)-IFERROR(INDEX(SP_GF_SGA,0,COLUMN()),0)-IFERROR(INDEX(SP_GF_OI_Operating,0,COLUMN()),0)-IFERROR(INDEX(SP_GF_DA_Operating,0,COLUMN()),0)-IFERROR(INDEX(SP_GF_OPEX,0,COLUMN()),0)-IFERROR(INDEX(SP_GF_RD,0,COLUMN()),0)-IFERROR(INDEX(SP_GF_OTI_Operating,0,COLUMN()),0)</f>
        <v>4747.8993092370511</v>
      </c>
      <c r="BC35" s="1084">
        <f>IFERROR(INDEX(SP_GF_Rev,0,COLUMN()),0)-IFERROR(INDEX(SP_GF_COGS,0,COLUMN()),0)-IFERROR(INDEX(SP_GF_SGA,0,COLUMN()),0)-IFERROR(INDEX(SP_GF_OI_Operating,0,COLUMN()),0)-IFERROR(INDEX(SP_GF_DA_Operating,0,COLUMN()),0)-IFERROR(INDEX(SP_GF_OPEX,0,COLUMN()),0)-IFERROR(INDEX(SP_GF_RD,0,COLUMN()),0)-IFERROR(INDEX(SP_GF_OTI_Operating,0,COLUMN()),0)</f>
        <v>4647.4101953207455</v>
      </c>
      <c r="BD35" s="1083">
        <f>IFERROR(INDEX(SP_GF_Rev,0,COLUMN()),0)-IFERROR(INDEX(SP_GF_COGS,0,COLUMN()),0)-IFERROR(INDEX(SP_GF_SGA,0,COLUMN()),0)-IFERROR(INDEX(SP_GF_OI_Operating,0,COLUMN()),0)-IFERROR(INDEX(SP_GF_DA_Operating,0,COLUMN()),0)-IFERROR(INDEX(SP_GF_OPEX,0,COLUMN()),0)-IFERROR(INDEX(SP_GF_RD,0,COLUMN()),0)-IFERROR(INDEX(SP_GF_OTI_Operating,0,COLUMN()),0)</f>
        <v>16173.314134840555</v>
      </c>
      <c r="BE35" s="1083">
        <f>IFERROR(INDEX(SP_GF_Rev,0,COLUMN()),0)-IFERROR(INDEX(SP_GF_COGS,0,COLUMN()),0)-IFERROR(INDEX(SP_GF_SGA,0,COLUMN()),0)-IFERROR(INDEX(SP_GF_OI_Operating,0,COLUMN()),0)-IFERROR(INDEX(SP_GF_DA_Operating,0,COLUMN()),0)-IFERROR(INDEX(SP_GF_OPEX,0,COLUMN()),0)-IFERROR(INDEX(SP_GF_RD,0,COLUMN()),0)-IFERROR(INDEX(SP_GF_OTI_Operating,0,COLUMN()),0)</f>
        <v>20118.947688603959</v>
      </c>
      <c r="BF35" s="1083">
        <f>IFERROR(INDEX(SP_GF_Rev,0,COLUMN()),0)-IFERROR(INDEX(SP_GF_COGS,0,COLUMN()),0)-IFERROR(INDEX(SP_GF_SGA,0,COLUMN()),0)-IFERROR(INDEX(SP_GF_OI_Operating,0,COLUMN()),0)-IFERROR(INDEX(SP_GF_DA_Operating,0,COLUMN()),0)-IFERROR(INDEX(SP_GF_OPEX,0,COLUMN()),0)-IFERROR(INDEX(SP_GF_RD,0,COLUMN()),0)-IFERROR(INDEX(SP_GF_OTI_Operating,0,COLUMN()),0)</f>
        <v>24805.309969958216</v>
      </c>
      <c r="BG35" s="1083">
        <f>IFERROR(INDEX(SP_GF_Rev,0,COLUMN()),0)-IFERROR(INDEX(SP_GF_COGS,0,COLUMN()),0)-IFERROR(INDEX(SP_GF_SGA,0,COLUMN()),0)-IFERROR(INDEX(SP_GF_OI_Operating,0,COLUMN()),0)-IFERROR(INDEX(SP_GF_DA_Operating,0,COLUMN()),0)-IFERROR(INDEX(SP_GF_OPEX,0,COLUMN()),0)-IFERROR(INDEX(SP_GF_RD,0,COLUMN()),0)-IFERROR(INDEX(SP_GF_OTI_Operating,0,COLUMN()),0)</f>
        <v>30394.006130766484</v>
      </c>
      <c r="BH35" s="1032"/>
    </row>
    <row r="36" spans="1:60" s="75" customFormat="1" x14ac:dyDescent="0.25">
      <c r="A36" s="327" t="str">
        <f>INDEX(MO_RIS_IE,0,COLUMN())</f>
        <v>Interest expense</v>
      </c>
      <c r="B36" s="328"/>
      <c r="C36" s="1086">
        <f>IFERROR(INDEX(MO_RIS_IE_Net,0,COLUMN()),INDEX(MO_RIS_IE,0,COLUMN())+INDEX(MO_RIS_II,0,COLUMN()))</f>
        <v>2.3720000000000003</v>
      </c>
      <c r="D36" s="1086">
        <f>IFERROR(INDEX(MO_RIS_IE_Net,0,COLUMN()),INDEX(MO_RIS_IE,0,COLUMN())+INDEX(MO_RIS_II,0,COLUMN()))</f>
        <v>0.73399999999999999</v>
      </c>
      <c r="E36" s="1086">
        <f>IFERROR(INDEX(MO_RIS_IE_Net,0,COLUMN()),INDEX(MO_RIS_IE,0,COLUMN())+INDEX(MO_RIS_II,0,COLUMN()))</f>
        <v>-0.21200000000000002</v>
      </c>
      <c r="F36" s="1086">
        <f>IFERROR(INDEX(MO_RIS_IE_Net,0,COLUMN()),INDEX(MO_RIS_IE,0,COLUMN())+INDEX(MO_RIS_II,0,COLUMN()))</f>
        <v>-3.3999999999999975E-2</v>
      </c>
      <c r="G36" s="1087">
        <f>IFERROR(INDEX(MO_RIS_IE_Net,0,COLUMN()),INDEX(MO_RIS_IE,0,COLUMN())+INDEX(MO_RIS_II,0,COLUMN()))</f>
        <v>0.108</v>
      </c>
      <c r="H36" s="1087">
        <f>IFERROR(INDEX(MO_RIS_IE_Net,0,COLUMN()),INDEX(MO_RIS_IE,0,COLUMN())+INDEX(MO_RIS_II,0,COLUMN()))</f>
        <v>20.076999999999998</v>
      </c>
      <c r="I36" s="1087">
        <f>IFERROR(INDEX(MO_RIS_IE_Net,0,COLUMN()),INDEX(MO_RIS_IE,0,COLUMN())+INDEX(MO_RIS_II,0,COLUMN()))</f>
        <v>6.4240000000000004</v>
      </c>
      <c r="J36" s="1087">
        <f>IFERROR(INDEX(MO_RIS_IE_Net,0,COLUMN()),INDEX(MO_RIS_IE,0,COLUMN())+INDEX(MO_RIS_II,0,COLUMN()))</f>
        <v>6.1359999999999966</v>
      </c>
      <c r="K36" s="1086">
        <f>IFERROR(INDEX(MO_RIS_IE_Net,0,COLUMN()),INDEX(MO_RIS_IE,0,COLUMN())+INDEX(MO_RIS_II,0,COLUMN()))</f>
        <v>32.744999999999997</v>
      </c>
      <c r="L36" s="1087">
        <f>IFERROR(INDEX(MO_RIS_IE_Net,0,COLUMN()),INDEX(MO_RIS_IE,0,COLUMN())+INDEX(MO_RIS_II,0,COLUMN()))</f>
        <v>11.741999999999999</v>
      </c>
      <c r="M36" s="1087">
        <f>IFERROR(INDEX(MO_RIS_IE_Net,0,COLUMN()),INDEX(MO_RIS_IE,0,COLUMN())+INDEX(MO_RIS_II,0,COLUMN()))</f>
        <v>30.771000000000001</v>
      </c>
      <c r="N36" s="1087">
        <f>IFERROR(INDEX(MO_RIS_IE_Net,0,COLUMN()),INDEX(MO_RIS_IE,0,COLUMN())+INDEX(MO_RIS_II,0,COLUMN()))</f>
        <v>28.762</v>
      </c>
      <c r="O36" s="1087">
        <f>IFERROR(INDEX(MO_RIS_IE_Net,0,COLUMN()),INDEX(MO_RIS_IE,0,COLUMN())+INDEX(MO_RIS_II,0,COLUMN()))</f>
        <v>28.483999999999998</v>
      </c>
      <c r="P36" s="1086">
        <f>IFERROR(INDEX(MO_RIS_IE_Net,0,COLUMN()),INDEX(MO_RIS_IE,0,COLUMN())+INDEX(MO_RIS_II,0,COLUMN()))</f>
        <v>99.759999999999991</v>
      </c>
      <c r="Q36" s="1087">
        <f>IFERROR(INDEX(MO_RIS_IE_Net,0,COLUMN()),INDEX(MO_RIS_IE,0,COLUMN())+INDEX(MO_RIS_II,0,COLUMN()))</f>
        <v>26.39</v>
      </c>
      <c r="R36" s="1087">
        <f>IFERROR(INDEX(MO_RIS_IE_Net,0,COLUMN()),INDEX(MO_RIS_IE,0,COLUMN())+INDEX(MO_RIS_II,0,COLUMN()))</f>
        <v>24.105</v>
      </c>
      <c r="S36" s="1087">
        <f>IFERROR(INDEX(MO_RIS_IE_Net,0,COLUMN()),INDEX(MO_RIS_IE,0,COLUMN())+INDEX(MO_RIS_II,0,COLUMN()))</f>
        <v>28.980999999999998</v>
      </c>
      <c r="T36" s="1087">
        <f>IFERROR(INDEX(MO_RIS_IE_Net,0,COLUMN()),INDEX(MO_RIS_IE,0,COLUMN())+INDEX(MO_RIS_II,0,COLUMN()))</f>
        <v>37.866999999999997</v>
      </c>
      <c r="U36" s="1086">
        <f>IFERROR(INDEX(MO_RIS_IE_Net,0,COLUMN()),INDEX(MO_RIS_IE,0,COLUMN())+INDEX(MO_RIS_II,0,COLUMN()))</f>
        <v>117.343</v>
      </c>
      <c r="V36" s="1087">
        <f>IFERROR(INDEX(MO_RIS_IE_Net,0,COLUMN()),INDEX(MO_RIS_IE,0,COLUMN())+INDEX(MO_RIS_II,0,COLUMN()))</f>
        <v>39.374000000000002</v>
      </c>
      <c r="W36" s="1087">
        <f>IFERROR(INDEX(MO_RIS_IE_Net,0,COLUMN()),INDEX(MO_RIS_IE,0,COLUMN())+INDEX(MO_RIS_II,0,COLUMN()))</f>
        <v>44.126000000000005</v>
      </c>
      <c r="X36" s="1087">
        <f>IFERROR(INDEX(MO_RIS_IE_Net,0,COLUMN()),INDEX(MO_RIS_IE,0,COLUMN())+INDEX(MO_RIS_II,0,COLUMN()))</f>
        <v>43.855000000000004</v>
      </c>
      <c r="Y36" s="1087">
        <f>IFERROR(INDEX(MO_RIS_IE_Net,0,COLUMN()),INDEX(MO_RIS_IE,0,COLUMN())+INDEX(MO_RIS_II,0,COLUMN()))</f>
        <v>62.924999999999997</v>
      </c>
      <c r="Z36" s="1086">
        <f>IFERROR(INDEX(MO_RIS_IE_Net,0,COLUMN()),INDEX(MO_RIS_IE,0,COLUMN())+INDEX(MO_RIS_II,0,COLUMN()))</f>
        <v>190.28</v>
      </c>
      <c r="AA36" s="1087">
        <f>IFERROR(INDEX(MO_RIS_IE_Net,0,COLUMN()),INDEX(MO_RIS_IE,0,COLUMN())+INDEX(MO_RIS_II,0,COLUMN()))</f>
        <v>96.256</v>
      </c>
      <c r="AB36" s="1087">
        <f>IFERROR(INDEX(MO_RIS_IE_Net,0,COLUMN()),INDEX(MO_RIS_IE,0,COLUMN())+INDEX(MO_RIS_II,0,COLUMN()))</f>
        <v>103.65600000000001</v>
      </c>
      <c r="AC36" s="1087">
        <f>IFERROR(INDEX(MO_RIS_IE_Net,0,COLUMN()),INDEX(MO_RIS_IE,0,COLUMN())+INDEX(MO_RIS_II,0,COLUMN()))</f>
        <v>111.57799999999999</v>
      </c>
      <c r="AD36" s="1087">
        <f>IFERROR(INDEX(MO_RIS_IE_Net,0,COLUMN()),INDEX(MO_RIS_IE,0,COLUMN())+INDEX(MO_RIS_II,0,COLUMN()))</f>
        <v>140.083</v>
      </c>
      <c r="AE36" s="1086">
        <f>IFERROR(INDEX(MO_RIS_IE_Net,0,COLUMN()),INDEX(MO_RIS_IE,0,COLUMN())+INDEX(MO_RIS_II,0,COLUMN()))</f>
        <v>451.57300000000004</v>
      </c>
      <c r="AF36" s="1087">
        <f>IFERROR(INDEX(MO_RIS_IE_Net,0,COLUMN()),INDEX(MO_RIS_IE,0,COLUMN())+INDEX(MO_RIS_II,0,COLUMN()))</f>
        <v>144.33199999999999</v>
      </c>
      <c r="AG36" s="1087">
        <f>IFERROR(INDEX(MO_RIS_IE_Net,0,COLUMN()),INDEX(MO_RIS_IE,0,COLUMN())+INDEX(MO_RIS_II,0,COLUMN()))</f>
        <v>158.518</v>
      </c>
      <c r="AH36" s="1087">
        <f>IFERROR(INDEX(MO_RIS_IE_Net,0,COLUMN()),INDEX(MO_RIS_IE,0,COLUMN())+INDEX(MO_RIS_II,0,COLUMN()))</f>
        <v>168.31299999999999</v>
      </c>
      <c r="AI36" s="1087">
        <f>IFERROR(INDEX(MO_RIS_IE_Net,0,COLUMN()),INDEX(MO_RIS_IE,0,COLUMN())+INDEX(MO_RIS_II,0,COLUMN()))</f>
        <v>167.37500000000006</v>
      </c>
      <c r="AJ36" s="1086">
        <f>IFERROR(INDEX(MO_RIS_IE_Net,0,COLUMN()),INDEX(MO_RIS_IE,0,COLUMN())+INDEX(MO_RIS_II,0,COLUMN()))</f>
        <v>638.53800000000001</v>
      </c>
      <c r="AK36" s="1087">
        <f>IFERROR(INDEX(MO_RIS_IE_Net,0,COLUMN()),INDEX(MO_RIS_IE,0,COLUMN())+INDEX(MO_RIS_II,0,COLUMN()))</f>
        <v>148.691</v>
      </c>
      <c r="AL36" s="1087">
        <f>IFERROR(INDEX(MO_RIS_IE_Net,0,COLUMN()),INDEX(MO_RIS_IE,0,COLUMN())+INDEX(MO_RIS_II,0,COLUMN()))</f>
        <v>161.61700000000002</v>
      </c>
      <c r="AM36" s="1087">
        <f>IFERROR(INDEX(MO_RIS_IE_Net,0,COLUMN()),INDEX(MO_RIS_IE,0,COLUMN())+INDEX(MO_RIS_II,0,COLUMN()))</f>
        <v>170</v>
      </c>
      <c r="AN36" s="1087">
        <f>IFERROR(INDEX(MO_RIS_IE_Net,0,COLUMN()),INDEX(MO_RIS_IE,0,COLUMN())+INDEX(MO_RIS_II,0,COLUMN()))</f>
        <v>160.69199999999998</v>
      </c>
      <c r="AO36" s="1086">
        <f>IFERROR(INDEX(MO_RIS_IE_Net,0,COLUMN()),INDEX(MO_RIS_IE,0,COLUMN())+INDEX(MO_RIS_II,0,COLUMN()))</f>
        <v>641</v>
      </c>
      <c r="AP36" s="1087">
        <f>IFERROR(INDEX(MO_RIS_IE_Net,0,COLUMN()),INDEX(MO_RIS_IE,0,COLUMN())+INDEX(MO_RIS_II,0,COLUMN()))</f>
        <v>159</v>
      </c>
      <c r="AQ36" s="1087">
        <f>IFERROR(INDEX(MO_RIS_IE_Net,0,COLUMN()),INDEX(MO_RIS_IE,0,COLUMN())+INDEX(MO_RIS_II,0,COLUMN()))</f>
        <v>162</v>
      </c>
      <c r="AR36" s="1087">
        <f>IFERROR(INDEX(MO_RIS_IE_Net,0,COLUMN()),INDEX(MO_RIS_IE,0,COLUMN())+INDEX(MO_RIS_II,0,COLUMN()))</f>
        <v>157</v>
      </c>
      <c r="AS36" s="1087">
        <f>IFERROR(INDEX(MO_RIS_IE_Net,0,COLUMN()),INDEX(MO_RIS_IE,0,COLUMN())+INDEX(MO_RIS_II,0,COLUMN()))</f>
        <v>240</v>
      </c>
      <c r="AT36" s="1086">
        <f>IFERROR(INDEX(MO_RIS_IE_Net,0,COLUMN()),INDEX(MO_RIS_IE,0,COLUMN())+INDEX(MO_RIS_II,0,COLUMN()))</f>
        <v>718</v>
      </c>
      <c r="AU36" s="1087">
        <f>IFERROR(INDEX(MO_RIS_IE_Net,0,COLUMN()),INDEX(MO_RIS_IE,0,COLUMN())+INDEX(MO_RIS_II,0,COLUMN()))</f>
        <v>89</v>
      </c>
      <c r="AV36" s="1087">
        <f>IFERROR(INDEX(MO_RIS_IE_Net,0,COLUMN()),INDEX(MO_RIS_IE,0,COLUMN())+INDEX(MO_RIS_II,0,COLUMN()))</f>
        <v>64</v>
      </c>
      <c r="AW36" s="1088">
        <f>IFERROR(INDEX(MO_RIS_IE_Net,0,COLUMN()),INDEX(MO_RIS_IE,0,COLUMN())+INDEX(MO_RIS_II,0,COLUMN()))</f>
        <v>116</v>
      </c>
      <c r="AX36" s="1087">
        <f>IFERROR(INDEX(MO_RIS_IE_Net,0,COLUMN()),INDEX(MO_RIS_IE,0,COLUMN())+INDEX(MO_RIS_II,0,COLUMN()))</f>
        <v>53.379156164383559</v>
      </c>
      <c r="AY36" s="1086">
        <f>IFERROR(INDEX(MO_RIS_IE_Net,0,COLUMN()),INDEX(MO_RIS_IE,0,COLUMN())+INDEX(MO_RIS_II,0,COLUMN()))</f>
        <v>322.37915616438357</v>
      </c>
      <c r="AZ36" s="1087">
        <f ca="1">IFERROR(INDEX(MO_RIS_IE_Net,0,COLUMN()),INDEX(MO_RIS_IE,0,COLUMN())+INDEX(MO_RIS_II,0,COLUMN()))</f>
        <v>51.646650136032505</v>
      </c>
      <c r="BA36" s="1087">
        <f ca="1">IFERROR(INDEX(MO_RIS_IE_Net,0,COLUMN()),INDEX(MO_RIS_IE,0,COLUMN())+INDEX(MO_RIS_II,0,COLUMN()))</f>
        <v>51.06718970280798</v>
      </c>
      <c r="BB36" s="1087">
        <f ca="1">IFERROR(INDEX(MO_RIS_IE_Net,0,COLUMN()),INDEX(MO_RIS_IE,0,COLUMN())+INDEX(MO_RIS_II,0,COLUMN()))</f>
        <v>50.190228494271196</v>
      </c>
      <c r="BC36" s="1087">
        <f ca="1">IFERROR(INDEX(MO_RIS_IE_Net,0,COLUMN()),INDEX(MO_RIS_IE,0,COLUMN())+INDEX(MO_RIS_II,0,COLUMN()))</f>
        <v>47.334970959513058</v>
      </c>
      <c r="BD36" s="1086">
        <f ca="1">IFERROR(INDEX(MO_RIS_IE_Net,0,COLUMN()),INDEX(MO_RIS_IE,0,COLUMN())+INDEX(MO_RIS_II,0,COLUMN()))</f>
        <v>200.23903929262474</v>
      </c>
      <c r="BE36" s="1086">
        <f ca="1">IFERROR(INDEX(MO_RIS_IE_Net,0,COLUMN()),INDEX(MO_RIS_IE,0,COLUMN())+INDEX(MO_RIS_II,0,COLUMN()))</f>
        <v>186.86562359677646</v>
      </c>
      <c r="BF36" s="1086">
        <f ca="1">IFERROR(INDEX(MO_RIS_IE_Net,0,COLUMN()),INDEX(MO_RIS_IE,0,COLUMN())+INDEX(MO_RIS_II,0,COLUMN()))</f>
        <v>163.95577906781037</v>
      </c>
      <c r="BG36" s="1086">
        <f ca="1">IFERROR(INDEX(MO_RIS_IE_Net,0,COLUMN()),INDEX(MO_RIS_IE,0,COLUMN())+INDEX(MO_RIS_II,0,COLUMN()))</f>
        <v>133.30038146007001</v>
      </c>
      <c r="BH36" s="1030"/>
    </row>
    <row r="37" spans="1:60" s="75" customFormat="1" x14ac:dyDescent="0.25">
      <c r="A37" s="490" t="s">
        <v>385</v>
      </c>
      <c r="B37" s="491"/>
      <c r="C37" s="1080">
        <f t="shared" ref="C37:AH37" si="41">INDEX(MO_RIS_OI,0,COLUMN())+INDEX(MO_RIS_OTI,0,COLUMN())</f>
        <v>1.4450000000000001</v>
      </c>
      <c r="D37" s="1080">
        <f t="shared" si="41"/>
        <v>6.5830000000000002</v>
      </c>
      <c r="E37" s="1080">
        <f t="shared" si="41"/>
        <v>2.6459999999999999</v>
      </c>
      <c r="F37" s="1080">
        <f t="shared" si="41"/>
        <v>1.8280000000000001</v>
      </c>
      <c r="G37" s="1081">
        <f t="shared" si="41"/>
        <v>-17.091000000000001</v>
      </c>
      <c r="H37" s="1081">
        <f t="shared" si="41"/>
        <v>-1.6679999999999999</v>
      </c>
      <c r="I37" s="1081">
        <f t="shared" si="41"/>
        <v>0.74</v>
      </c>
      <c r="J37" s="1081">
        <f t="shared" si="41"/>
        <v>-4.5829999999999984</v>
      </c>
      <c r="K37" s="1080">
        <f t="shared" si="41"/>
        <v>-22.602</v>
      </c>
      <c r="L37" s="1081">
        <f t="shared" si="41"/>
        <v>-6.718</v>
      </c>
      <c r="M37" s="1081">
        <f t="shared" si="41"/>
        <v>1.226</v>
      </c>
      <c r="N37" s="1081">
        <f t="shared" si="41"/>
        <v>3.09</v>
      </c>
      <c r="O37" s="1081">
        <f t="shared" si="41"/>
        <v>0.58799999999999997</v>
      </c>
      <c r="P37" s="1080">
        <f t="shared" si="41"/>
        <v>-1.8129999999999999</v>
      </c>
      <c r="Q37" s="1081">
        <f t="shared" si="41"/>
        <v>22.305</v>
      </c>
      <c r="R37" s="1081">
        <f t="shared" si="41"/>
        <v>-13.233000000000001</v>
      </c>
      <c r="S37" s="1081">
        <f t="shared" si="41"/>
        <v>15.430999999999999</v>
      </c>
      <c r="T37" s="1081">
        <f t="shared" si="41"/>
        <v>17.149000000000001</v>
      </c>
      <c r="U37" s="1080">
        <f t="shared" si="41"/>
        <v>41.652000000000001</v>
      </c>
      <c r="V37" s="1081">
        <f t="shared" si="41"/>
        <v>-9.1769999999999996</v>
      </c>
      <c r="W37" s="1081">
        <f t="shared" si="41"/>
        <v>7.3730000000000002</v>
      </c>
      <c r="X37" s="1081">
        <f t="shared" si="41"/>
        <v>11.756</v>
      </c>
      <c r="Y37" s="1081">
        <f t="shared" si="41"/>
        <v>-121.224</v>
      </c>
      <c r="Z37" s="1080">
        <f t="shared" si="41"/>
        <v>-111.27200000000001</v>
      </c>
      <c r="AA37" s="1081">
        <f t="shared" si="41"/>
        <v>18.097999999999999</v>
      </c>
      <c r="AB37" s="1081">
        <f t="shared" si="41"/>
        <v>41.207999999999998</v>
      </c>
      <c r="AC37" s="1081">
        <f t="shared" si="41"/>
        <v>24.39</v>
      </c>
      <c r="AD37" s="1081">
        <f t="shared" si="41"/>
        <v>41.677</v>
      </c>
      <c r="AE37" s="1080">
        <f t="shared" si="41"/>
        <v>125.373</v>
      </c>
      <c r="AF37" s="1081">
        <f t="shared" si="41"/>
        <v>37.716000000000001</v>
      </c>
      <c r="AG37" s="1081">
        <f t="shared" si="41"/>
        <v>-50.911000000000001</v>
      </c>
      <c r="AH37" s="1081">
        <f t="shared" si="41"/>
        <v>-22.876000000000001</v>
      </c>
      <c r="AI37" s="1081">
        <f t="shared" ref="AI37:AY37" si="42">INDEX(MO_RIS_OI,0,COLUMN())+INDEX(MO_RIS_OTI,0,COLUMN())</f>
        <v>14.204999999999998</v>
      </c>
      <c r="AJ37" s="1080">
        <f t="shared" si="42"/>
        <v>-21.866</v>
      </c>
      <c r="AK37" s="1081">
        <f t="shared" si="42"/>
        <v>-25.75</v>
      </c>
      <c r="AL37" s="1081">
        <f t="shared" si="42"/>
        <v>40.756</v>
      </c>
      <c r="AM37" s="1081">
        <f t="shared" si="42"/>
        <v>-85</v>
      </c>
      <c r="AN37" s="1081">
        <f t="shared" si="42"/>
        <v>24.994</v>
      </c>
      <c r="AO37" s="1080">
        <f t="shared" si="42"/>
        <v>-45</v>
      </c>
      <c r="AP37" s="1081">
        <f t="shared" si="42"/>
        <v>54</v>
      </c>
      <c r="AQ37" s="1081">
        <f t="shared" si="42"/>
        <v>15</v>
      </c>
      <c r="AR37" s="1081">
        <f>INDEX(MO_RIS_OI,0,COLUMN())+INDEX(MO_RIS_OTI,0,COLUMN())</f>
        <v>97</v>
      </c>
      <c r="AS37" s="1081">
        <f>INDEX(MO_RIS_OI,0,COLUMN())+INDEX(MO_RIS_OTI,0,COLUMN())</f>
        <v>-44</v>
      </c>
      <c r="AT37" s="1080">
        <f>INDEX(MO_RIS_OI,0,COLUMN())+INDEX(MO_RIS_OTI,0,COLUMN())</f>
        <v>122</v>
      </c>
      <c r="AU37" s="1081">
        <f t="shared" si="42"/>
        <v>-28</v>
      </c>
      <c r="AV37" s="1081">
        <f>INDEX(MO_RIS_OI,0,COLUMN())+INDEX(MO_RIS_OTI,0,COLUMN())</f>
        <v>-45</v>
      </c>
      <c r="AW37" s="1082">
        <f>INDEX(MO_RIS_OI,0,COLUMN())+INDEX(MO_RIS_OTI,0,COLUMN())</f>
        <v>6</v>
      </c>
      <c r="AX37" s="1081">
        <f t="shared" si="42"/>
        <v>25</v>
      </c>
      <c r="AY37" s="1080">
        <f t="shared" si="42"/>
        <v>-42</v>
      </c>
      <c r="AZ37" s="1081">
        <f t="shared" ref="AZ37:BG37" si="43">INDEX(MO_RIS_OI,0,COLUMN())+INDEX(MO_RIS_OTI,0,COLUMN())</f>
        <v>25</v>
      </c>
      <c r="BA37" s="1081">
        <f t="shared" si="43"/>
        <v>25</v>
      </c>
      <c r="BB37" s="1081">
        <f t="shared" si="43"/>
        <v>25</v>
      </c>
      <c r="BC37" s="1081">
        <f t="shared" si="43"/>
        <v>25</v>
      </c>
      <c r="BD37" s="1080">
        <f t="shared" si="43"/>
        <v>100</v>
      </c>
      <c r="BE37" s="1080">
        <f t="shared" si="43"/>
        <v>100</v>
      </c>
      <c r="BF37" s="1080">
        <f t="shared" si="43"/>
        <v>100</v>
      </c>
      <c r="BG37" s="1080">
        <f t="shared" si="43"/>
        <v>100</v>
      </c>
      <c r="BH37" s="1030"/>
    </row>
    <row r="38" spans="1:60" s="76" customFormat="1" x14ac:dyDescent="0.25">
      <c r="A38" s="329" t="str">
        <f>INDEX(MO_RIS_EBT,0,COLUMN())</f>
        <v>EBT</v>
      </c>
      <c r="B38" s="330"/>
      <c r="C38" s="1083">
        <f t="shared" ref="C38:AH38" si="44">INDEX(SP_GF_EBIT,0,COLUMN())-INDEX(SP_GF_IE,0,COLUMN())-INDEX(SP_GF_OI,0,COLUMN())</f>
        <v>-55.714000000000006</v>
      </c>
      <c r="D38" s="1083">
        <f t="shared" si="44"/>
        <v>-154.155</v>
      </c>
      <c r="E38" s="1083">
        <f t="shared" si="44"/>
        <v>-253.92199999999997</v>
      </c>
      <c r="F38" s="1083">
        <f t="shared" si="44"/>
        <v>-396.077</v>
      </c>
      <c r="G38" s="1084">
        <f t="shared" si="44"/>
        <v>11.399000000000047</v>
      </c>
      <c r="H38" s="1084">
        <f t="shared" si="44"/>
        <v>-30.200999999999993</v>
      </c>
      <c r="I38" s="1084">
        <f t="shared" si="44"/>
        <v>-37.718000000000004</v>
      </c>
      <c r="J38" s="1084">
        <f t="shared" si="44"/>
        <v>-14.905999999999963</v>
      </c>
      <c r="K38" s="1083">
        <f t="shared" si="44"/>
        <v>-71.425999999999846</v>
      </c>
      <c r="L38" s="1084">
        <f t="shared" si="44"/>
        <v>-48.991000000000014</v>
      </c>
      <c r="M38" s="1084">
        <f t="shared" si="44"/>
        <v>-60.750000000000114</v>
      </c>
      <c r="N38" s="1084">
        <f t="shared" si="44"/>
        <v>-70.980999999999995</v>
      </c>
      <c r="O38" s="1084">
        <f t="shared" si="44"/>
        <v>-103.9100000000001</v>
      </c>
      <c r="P38" s="1083">
        <f t="shared" si="44"/>
        <v>-284.63599999999968</v>
      </c>
      <c r="Q38" s="1084">
        <f t="shared" si="44"/>
        <v>-151.14099999999991</v>
      </c>
      <c r="R38" s="1084">
        <f t="shared" si="44"/>
        <v>-181.05999999999997</v>
      </c>
      <c r="S38" s="1084">
        <f t="shared" si="44"/>
        <v>-228.07400000000001</v>
      </c>
      <c r="T38" s="1084">
        <f t="shared" si="44"/>
        <v>-315.34899999999993</v>
      </c>
      <c r="U38" s="1083">
        <f t="shared" si="44"/>
        <v>-875.6239999999998</v>
      </c>
      <c r="V38" s="1084">
        <f t="shared" si="44"/>
        <v>-278.42099999999999</v>
      </c>
      <c r="W38" s="1084">
        <f t="shared" si="44"/>
        <v>-289.53899999999993</v>
      </c>
      <c r="X38" s="1084">
        <f t="shared" si="44"/>
        <v>30.010999999999697</v>
      </c>
      <c r="Y38" s="1084">
        <f t="shared" si="44"/>
        <v>-208.39900000000023</v>
      </c>
      <c r="Z38" s="1083">
        <f t="shared" si="44"/>
        <v>-746.34800000000041</v>
      </c>
      <c r="AA38" s="1084">
        <f t="shared" si="44"/>
        <v>-371.90299999999996</v>
      </c>
      <c r="AB38" s="1084">
        <f t="shared" si="44"/>
        <v>-385.7800000000002</v>
      </c>
      <c r="AC38" s="1084">
        <f t="shared" si="44"/>
        <v>-671.44799999999975</v>
      </c>
      <c r="AD38" s="1084">
        <f t="shared" si="44"/>
        <v>-779.90100000000075</v>
      </c>
      <c r="AE38" s="1083">
        <f t="shared" si="44"/>
        <v>-2209.0319999999992</v>
      </c>
      <c r="AF38" s="1084">
        <f t="shared" si="44"/>
        <v>-779.02200000000016</v>
      </c>
      <c r="AG38" s="1084">
        <f t="shared" si="44"/>
        <v>-728.99900000000116</v>
      </c>
      <c r="AH38" s="1084">
        <f t="shared" si="44"/>
        <v>271.31999999999994</v>
      </c>
      <c r="AI38" s="1084">
        <f t="shared" ref="AI38:BG38" si="45">INDEX(SP_GF_EBIT,0,COLUMN())-INDEX(SP_GF_IE,0,COLUMN())-INDEX(SP_GF_OI,0,COLUMN())</f>
        <v>231.95600000000047</v>
      </c>
      <c r="AJ38" s="1083">
        <f t="shared" si="45"/>
        <v>-1004.7449999999992</v>
      </c>
      <c r="AK38" s="1084">
        <f t="shared" si="45"/>
        <v>-644.77200000000005</v>
      </c>
      <c r="AL38" s="1084">
        <f t="shared" si="45"/>
        <v>-369.83100000000059</v>
      </c>
      <c r="AM38" s="1084">
        <f t="shared" si="45"/>
        <v>176</v>
      </c>
      <c r="AN38" s="1084">
        <f t="shared" si="45"/>
        <v>173.60299999999944</v>
      </c>
      <c r="AO38" s="1083">
        <f t="shared" si="45"/>
        <v>-665</v>
      </c>
      <c r="AP38" s="1084">
        <f t="shared" si="45"/>
        <v>70</v>
      </c>
      <c r="AQ38" s="1084">
        <f t="shared" si="45"/>
        <v>150</v>
      </c>
      <c r="AR38" s="1084">
        <f t="shared" si="45"/>
        <v>555</v>
      </c>
      <c r="AS38" s="1084">
        <f t="shared" si="45"/>
        <v>379</v>
      </c>
      <c r="AT38" s="1083">
        <f t="shared" si="45"/>
        <v>1154</v>
      </c>
      <c r="AU38" s="1084">
        <f t="shared" si="45"/>
        <v>533</v>
      </c>
      <c r="AV38" s="1084">
        <f t="shared" si="45"/>
        <v>1293</v>
      </c>
      <c r="AW38" s="1085">
        <f t="shared" si="45"/>
        <v>1882</v>
      </c>
      <c r="AX38" s="1084">
        <f t="shared" si="45"/>
        <v>2235.8779789966652</v>
      </c>
      <c r="AY38" s="1083">
        <f t="shared" si="45"/>
        <v>5943.8779789966657</v>
      </c>
      <c r="AZ38" s="1084">
        <f t="shared" ca="1" si="45"/>
        <v>3083.6299057835608</v>
      </c>
      <c r="BA38" s="1084">
        <f t="shared" ca="1" si="45"/>
        <v>3541.6608846603585</v>
      </c>
      <c r="BB38" s="1084">
        <f t="shared" ca="1" si="45"/>
        <v>4672.7090807427794</v>
      </c>
      <c r="BC38" s="1084">
        <f t="shared" ca="1" si="45"/>
        <v>4575.0752243612324</v>
      </c>
      <c r="BD38" s="1083">
        <f t="shared" ca="1" si="45"/>
        <v>15873.075095547931</v>
      </c>
      <c r="BE38" s="1083">
        <f t="shared" ca="1" si="45"/>
        <v>19832.082065007184</v>
      </c>
      <c r="BF38" s="1083">
        <f t="shared" ca="1" si="45"/>
        <v>24541.354190890404</v>
      </c>
      <c r="BG38" s="1083">
        <f t="shared" ca="1" si="45"/>
        <v>30160.705749306413</v>
      </c>
      <c r="BH38" s="1032"/>
    </row>
    <row r="39" spans="1:60" s="75" customFormat="1" x14ac:dyDescent="0.25">
      <c r="A39" s="327" t="s">
        <v>386</v>
      </c>
      <c r="B39" s="328"/>
      <c r="C39" s="1086">
        <f t="shared" ref="C39:AH39" si="46">INDEX(MO_RIS_Tax_Current,0,COLUMN())+INDEX(MO_RIS_Tax_Deferred,0,COLUMN())</f>
        <v>2.5999999999999999E-2</v>
      </c>
      <c r="D39" s="1086">
        <f t="shared" si="46"/>
        <v>0.17299999999999999</v>
      </c>
      <c r="E39" s="1086">
        <f t="shared" si="46"/>
        <v>0.48899999999999999</v>
      </c>
      <c r="F39" s="1086">
        <f t="shared" si="46"/>
        <v>0.13600000000000001</v>
      </c>
      <c r="G39" s="1087">
        <f t="shared" si="46"/>
        <v>0.151</v>
      </c>
      <c r="H39" s="1087">
        <f t="shared" si="46"/>
        <v>0.30099999999999999</v>
      </c>
      <c r="I39" s="1087">
        <f t="shared" si="46"/>
        <v>0.77800000000000002</v>
      </c>
      <c r="J39" s="1087">
        <f t="shared" si="46"/>
        <v>1.3580000000000001</v>
      </c>
      <c r="K39" s="1086">
        <f t="shared" si="46"/>
        <v>2.5880000000000001</v>
      </c>
      <c r="L39" s="1087">
        <f t="shared" si="46"/>
        <v>0.80900000000000005</v>
      </c>
      <c r="M39" s="1087">
        <f t="shared" si="46"/>
        <v>1.1499999999999999</v>
      </c>
      <c r="N39" s="1087">
        <f t="shared" si="46"/>
        <v>3.7269999999999999</v>
      </c>
      <c r="O39" s="1087">
        <f t="shared" si="46"/>
        <v>3.7189999999999999</v>
      </c>
      <c r="P39" s="1086">
        <f t="shared" si="46"/>
        <v>9.4039999999999999</v>
      </c>
      <c r="Q39" s="1087">
        <f t="shared" si="46"/>
        <v>3.04</v>
      </c>
      <c r="R39" s="1087">
        <f t="shared" si="46"/>
        <v>3.1669999999999998</v>
      </c>
      <c r="S39" s="1087">
        <f t="shared" si="46"/>
        <v>1.784</v>
      </c>
      <c r="T39" s="1087">
        <f t="shared" si="46"/>
        <v>5.048</v>
      </c>
      <c r="U39" s="1086">
        <f t="shared" si="46"/>
        <v>13.039</v>
      </c>
      <c r="V39" s="1087">
        <f t="shared" si="46"/>
        <v>3.8460000000000001</v>
      </c>
      <c r="W39" s="1087">
        <f t="shared" si="46"/>
        <v>3.649</v>
      </c>
      <c r="X39" s="1087">
        <f t="shared" si="46"/>
        <v>8.1329999999999991</v>
      </c>
      <c r="Y39" s="1087">
        <f t="shared" si="46"/>
        <v>11.07</v>
      </c>
      <c r="Z39" s="1086">
        <f t="shared" si="46"/>
        <v>26.698</v>
      </c>
      <c r="AA39" s="1087">
        <f t="shared" si="46"/>
        <v>25.277999999999999</v>
      </c>
      <c r="AB39" s="1087">
        <f t="shared" si="46"/>
        <v>15.647</v>
      </c>
      <c r="AC39" s="1087">
        <f t="shared" si="46"/>
        <v>-0.28499999999999998</v>
      </c>
      <c r="AD39" s="1087">
        <f t="shared" si="46"/>
        <v>-9.0939999999999994</v>
      </c>
      <c r="AE39" s="1086">
        <f t="shared" si="46"/>
        <v>31.545999999999999</v>
      </c>
      <c r="AF39" s="1087">
        <f t="shared" si="46"/>
        <v>5.6050000000000004</v>
      </c>
      <c r="AG39" s="1087">
        <f t="shared" si="46"/>
        <v>13.707000000000001</v>
      </c>
      <c r="AH39" s="1087">
        <f t="shared" si="46"/>
        <v>16.646999999999998</v>
      </c>
      <c r="AI39" s="1087">
        <f t="shared" ref="AI39:AY39" si="47">INDEX(MO_RIS_Tax_Current,0,COLUMN())+INDEX(MO_RIS_Tax_Deferred,0,COLUMN())</f>
        <v>21.878</v>
      </c>
      <c r="AJ39" s="1086">
        <f t="shared" si="47"/>
        <v>57.837000000000003</v>
      </c>
      <c r="AK39" s="1087">
        <f t="shared" si="47"/>
        <v>22.873000000000001</v>
      </c>
      <c r="AL39" s="1087">
        <f t="shared" si="47"/>
        <v>19.431000000000001</v>
      </c>
      <c r="AM39" s="1087">
        <f t="shared" si="47"/>
        <v>26</v>
      </c>
      <c r="AN39" s="1087">
        <f t="shared" si="47"/>
        <v>41.695999999999998</v>
      </c>
      <c r="AO39" s="1086">
        <f t="shared" si="47"/>
        <v>110</v>
      </c>
      <c r="AP39" s="1087">
        <f t="shared" si="47"/>
        <v>2</v>
      </c>
      <c r="AQ39" s="1087">
        <f t="shared" si="47"/>
        <v>21</v>
      </c>
      <c r="AR39" s="1087">
        <f>INDEX(MO_RIS_Tax_Current,0,COLUMN())+INDEX(MO_RIS_Tax_Deferred,0,COLUMN())</f>
        <v>186</v>
      </c>
      <c r="AS39" s="1087">
        <f>INDEX(MO_RIS_Tax_Current,0,COLUMN())+INDEX(MO_RIS_Tax_Deferred,0,COLUMN())</f>
        <v>83</v>
      </c>
      <c r="AT39" s="1086">
        <f>INDEX(MO_RIS_Tax_Current,0,COLUMN())+INDEX(MO_RIS_Tax_Deferred,0,COLUMN())</f>
        <v>292</v>
      </c>
      <c r="AU39" s="1087">
        <f t="shared" si="47"/>
        <v>69</v>
      </c>
      <c r="AV39" s="1087">
        <f>INDEX(MO_RIS_Tax_Current,0,COLUMN())+INDEX(MO_RIS_Tax_Deferred,0,COLUMN())</f>
        <v>115</v>
      </c>
      <c r="AW39" s="1088">
        <f>INDEX(MO_RIS_Tax_Current,0,COLUMN())+INDEX(MO_RIS_Tax_Deferred,0,COLUMN())</f>
        <v>223</v>
      </c>
      <c r="AX39" s="1087">
        <f t="shared" si="47"/>
        <v>469.53437558929966</v>
      </c>
      <c r="AY39" s="1086">
        <f t="shared" si="47"/>
        <v>876.53437558929966</v>
      </c>
      <c r="AZ39" s="1087">
        <f t="shared" ref="AZ39:BG39" ca="1" si="48">INDEX(MO_RIS_Tax_Current,0,COLUMN())+INDEX(MO_RIS_Tax_Deferred,0,COLUMN())</f>
        <v>647.56228021454751</v>
      </c>
      <c r="BA39" s="1087">
        <f t="shared" ca="1" si="48"/>
        <v>743.74878577867503</v>
      </c>
      <c r="BB39" s="1087">
        <f t="shared" ca="1" si="48"/>
        <v>981.26890695598365</v>
      </c>
      <c r="BC39" s="1087">
        <f t="shared" ca="1" si="48"/>
        <v>960.76579711585919</v>
      </c>
      <c r="BD39" s="1086">
        <f t="shared" ca="1" si="48"/>
        <v>3333.3457700650656</v>
      </c>
      <c r="BE39" s="1086">
        <f t="shared" ca="1" si="48"/>
        <v>4164.7372336515073</v>
      </c>
      <c r="BF39" s="1086">
        <f t="shared" ca="1" si="48"/>
        <v>5153.6843800869865</v>
      </c>
      <c r="BG39" s="1086">
        <f t="shared" ca="1" si="48"/>
        <v>6333.748207354347</v>
      </c>
      <c r="BH39" s="1030"/>
    </row>
    <row r="40" spans="1:60" s="75" customFormat="1" x14ac:dyDescent="0.25">
      <c r="A40" s="327" t="str">
        <f>INDEX(MO_RIS_DisCont,0,COLUMN())</f>
        <v>Discontinued Operations</v>
      </c>
      <c r="B40" s="328"/>
      <c r="C40" s="1086">
        <f t="shared" ref="C40:AH40" si="49">INDEX(MO_RIS_DisCont,0,COLUMN())</f>
        <v>0</v>
      </c>
      <c r="D40" s="1086">
        <f t="shared" si="49"/>
        <v>0</v>
      </c>
      <c r="E40" s="1086">
        <f t="shared" si="49"/>
        <v>0</v>
      </c>
      <c r="F40" s="1086">
        <f t="shared" si="49"/>
        <v>0</v>
      </c>
      <c r="G40" s="1087">
        <f t="shared" si="49"/>
        <v>0</v>
      </c>
      <c r="H40" s="1087">
        <f t="shared" si="49"/>
        <v>0</v>
      </c>
      <c r="I40" s="1087">
        <f t="shared" si="49"/>
        <v>0</v>
      </c>
      <c r="J40" s="1087">
        <f t="shared" si="49"/>
        <v>0</v>
      </c>
      <c r="K40" s="1086">
        <f t="shared" si="49"/>
        <v>0</v>
      </c>
      <c r="L40" s="1087">
        <f t="shared" si="49"/>
        <v>0</v>
      </c>
      <c r="M40" s="1087">
        <f t="shared" si="49"/>
        <v>0</v>
      </c>
      <c r="N40" s="1087">
        <f t="shared" si="49"/>
        <v>0</v>
      </c>
      <c r="O40" s="1087">
        <f t="shared" si="49"/>
        <v>0</v>
      </c>
      <c r="P40" s="1086">
        <f t="shared" si="49"/>
        <v>0</v>
      </c>
      <c r="Q40" s="1087">
        <f t="shared" si="49"/>
        <v>0</v>
      </c>
      <c r="R40" s="1087">
        <f t="shared" si="49"/>
        <v>0</v>
      </c>
      <c r="S40" s="1087">
        <f t="shared" si="49"/>
        <v>0</v>
      </c>
      <c r="T40" s="1087">
        <f t="shared" si="49"/>
        <v>0</v>
      </c>
      <c r="U40" s="1086">
        <f t="shared" si="49"/>
        <v>0</v>
      </c>
      <c r="V40" s="1087">
        <f t="shared" si="49"/>
        <v>0</v>
      </c>
      <c r="W40" s="1087">
        <f t="shared" si="49"/>
        <v>0</v>
      </c>
      <c r="X40" s="1087">
        <f t="shared" si="49"/>
        <v>0</v>
      </c>
      <c r="Y40" s="1087">
        <f t="shared" si="49"/>
        <v>0</v>
      </c>
      <c r="Z40" s="1086">
        <f t="shared" si="49"/>
        <v>0</v>
      </c>
      <c r="AA40" s="1087">
        <f t="shared" si="49"/>
        <v>0</v>
      </c>
      <c r="AB40" s="1087">
        <f t="shared" si="49"/>
        <v>0</v>
      </c>
      <c r="AC40" s="1087">
        <f t="shared" si="49"/>
        <v>0</v>
      </c>
      <c r="AD40" s="1087">
        <f t="shared" si="49"/>
        <v>0</v>
      </c>
      <c r="AE40" s="1086">
        <f t="shared" si="49"/>
        <v>0</v>
      </c>
      <c r="AF40" s="1087">
        <f t="shared" si="49"/>
        <v>0</v>
      </c>
      <c r="AG40" s="1087">
        <f t="shared" si="49"/>
        <v>0</v>
      </c>
      <c r="AH40" s="1087">
        <f t="shared" si="49"/>
        <v>0</v>
      </c>
      <c r="AI40" s="1087">
        <f t="shared" ref="AI40:AY40" si="50">INDEX(MO_RIS_DisCont,0,COLUMN())</f>
        <v>0</v>
      </c>
      <c r="AJ40" s="1086">
        <f t="shared" si="50"/>
        <v>0</v>
      </c>
      <c r="AK40" s="1087">
        <f t="shared" si="50"/>
        <v>0</v>
      </c>
      <c r="AL40" s="1087">
        <f t="shared" si="50"/>
        <v>0</v>
      </c>
      <c r="AM40" s="1087">
        <f t="shared" si="50"/>
        <v>0</v>
      </c>
      <c r="AN40" s="1087">
        <f t="shared" si="50"/>
        <v>0</v>
      </c>
      <c r="AO40" s="1086">
        <f t="shared" si="50"/>
        <v>0</v>
      </c>
      <c r="AP40" s="1087">
        <f t="shared" si="50"/>
        <v>0</v>
      </c>
      <c r="AQ40" s="1087">
        <f t="shared" si="50"/>
        <v>0</v>
      </c>
      <c r="AR40" s="1087">
        <f>INDEX(MO_RIS_DisCont,0,COLUMN())</f>
        <v>0</v>
      </c>
      <c r="AS40" s="1087">
        <f>INDEX(MO_RIS_DisCont,0,COLUMN())</f>
        <v>0</v>
      </c>
      <c r="AT40" s="1086">
        <f>INDEX(MO_RIS_DisCont,0,COLUMN())</f>
        <v>0</v>
      </c>
      <c r="AU40" s="1087">
        <f t="shared" si="50"/>
        <v>0</v>
      </c>
      <c r="AV40" s="1087">
        <f>INDEX(MO_RIS_DisCont,0,COLUMN())</f>
        <v>0</v>
      </c>
      <c r="AW40" s="1088">
        <f>INDEX(MO_RIS_DisCont,0,COLUMN())</f>
        <v>0</v>
      </c>
      <c r="AX40" s="1087">
        <f t="shared" si="50"/>
        <v>0</v>
      </c>
      <c r="AY40" s="1086">
        <f t="shared" si="50"/>
        <v>0</v>
      </c>
      <c r="AZ40" s="1087">
        <f t="shared" ref="AZ40:BG40" si="51">INDEX(MO_RIS_DisCont,0,COLUMN())</f>
        <v>0</v>
      </c>
      <c r="BA40" s="1087">
        <f t="shared" si="51"/>
        <v>0</v>
      </c>
      <c r="BB40" s="1087">
        <f t="shared" si="51"/>
        <v>0</v>
      </c>
      <c r="BC40" s="1087">
        <f t="shared" si="51"/>
        <v>0</v>
      </c>
      <c r="BD40" s="1086">
        <f t="shared" si="51"/>
        <v>0</v>
      </c>
      <c r="BE40" s="1086">
        <f t="shared" si="51"/>
        <v>0</v>
      </c>
      <c r="BF40" s="1086">
        <f t="shared" si="51"/>
        <v>0</v>
      </c>
      <c r="BG40" s="1086">
        <f t="shared" si="51"/>
        <v>0</v>
      </c>
      <c r="BH40" s="1030"/>
    </row>
    <row r="41" spans="1:60" s="75" customFormat="1" x14ac:dyDescent="0.25">
      <c r="A41" s="327" t="str">
        <f>INDEX(MO_RIS_NCI,0,COLUMN())</f>
        <v>Net Income to NCI</v>
      </c>
      <c r="B41" s="328"/>
      <c r="C41" s="1086">
        <f t="shared" ref="C41:AH41" si="52">INDEX(MO_RIS_NCI,0,COLUMN())</f>
        <v>0</v>
      </c>
      <c r="D41" s="1086">
        <f t="shared" si="52"/>
        <v>0</v>
      </c>
      <c r="E41" s="1086">
        <f t="shared" si="52"/>
        <v>0</v>
      </c>
      <c r="F41" s="1086">
        <f t="shared" si="52"/>
        <v>0</v>
      </c>
      <c r="G41" s="1087">
        <f t="shared" si="52"/>
        <v>0</v>
      </c>
      <c r="H41" s="1087">
        <f t="shared" si="52"/>
        <v>0</v>
      </c>
      <c r="I41" s="1087">
        <f t="shared" si="52"/>
        <v>0</v>
      </c>
      <c r="J41" s="1087">
        <f t="shared" si="52"/>
        <v>0</v>
      </c>
      <c r="K41" s="1086">
        <f t="shared" si="52"/>
        <v>0</v>
      </c>
      <c r="L41" s="1087">
        <f t="shared" si="52"/>
        <v>0</v>
      </c>
      <c r="M41" s="1087">
        <f t="shared" si="52"/>
        <v>0</v>
      </c>
      <c r="N41" s="1087">
        <f t="shared" si="52"/>
        <v>0</v>
      </c>
      <c r="O41" s="1087">
        <f t="shared" si="52"/>
        <v>0</v>
      </c>
      <c r="P41" s="1086">
        <f t="shared" si="52"/>
        <v>0</v>
      </c>
      <c r="Q41" s="1087">
        <f t="shared" si="52"/>
        <v>0</v>
      </c>
      <c r="R41" s="1087">
        <f t="shared" si="52"/>
        <v>0</v>
      </c>
      <c r="S41" s="1087">
        <f t="shared" si="52"/>
        <v>0</v>
      </c>
      <c r="T41" s="1087">
        <f t="shared" si="52"/>
        <v>0</v>
      </c>
      <c r="U41" s="1086">
        <f t="shared" si="52"/>
        <v>0</v>
      </c>
      <c r="V41" s="1087">
        <f t="shared" si="52"/>
        <v>0</v>
      </c>
      <c r="W41" s="1087">
        <f t="shared" si="52"/>
        <v>0</v>
      </c>
      <c r="X41" s="1087">
        <f t="shared" si="52"/>
        <v>0</v>
      </c>
      <c r="Y41" s="1087">
        <f t="shared" si="52"/>
        <v>-98.132000000000005</v>
      </c>
      <c r="Z41" s="1086">
        <f t="shared" si="52"/>
        <v>-98.132000000000005</v>
      </c>
      <c r="AA41" s="1087">
        <f t="shared" si="52"/>
        <v>-66.903999999999996</v>
      </c>
      <c r="AB41" s="1087">
        <f t="shared" si="52"/>
        <v>-65.03</v>
      </c>
      <c r="AC41" s="1087">
        <f t="shared" si="52"/>
        <v>-51.786999999999999</v>
      </c>
      <c r="AD41" s="1087">
        <f t="shared" si="52"/>
        <v>-95.456999999999994</v>
      </c>
      <c r="AE41" s="1086">
        <f t="shared" si="52"/>
        <v>-279.178</v>
      </c>
      <c r="AF41" s="1087">
        <f t="shared" si="52"/>
        <v>-75.075999999999993</v>
      </c>
      <c r="AG41" s="1087">
        <f t="shared" si="52"/>
        <v>-25.167000000000002</v>
      </c>
      <c r="AH41" s="1087">
        <f t="shared" si="52"/>
        <v>-56.843000000000004</v>
      </c>
      <c r="AI41" s="1087">
        <f t="shared" ref="AI41:AY41" si="53">INDEX(MO_RIS_NCI,0,COLUMN())</f>
        <v>70.595000000000013</v>
      </c>
      <c r="AJ41" s="1086">
        <f t="shared" si="53"/>
        <v>-86.491</v>
      </c>
      <c r="AK41" s="1087">
        <f t="shared" si="53"/>
        <v>34.49</v>
      </c>
      <c r="AL41" s="1087">
        <f t="shared" si="53"/>
        <v>19.071999999999999</v>
      </c>
      <c r="AM41" s="1087">
        <f t="shared" si="53"/>
        <v>7</v>
      </c>
      <c r="AN41" s="1087">
        <f t="shared" si="53"/>
        <v>26.438000000000002</v>
      </c>
      <c r="AO41" s="1086">
        <f t="shared" si="53"/>
        <v>87</v>
      </c>
      <c r="AP41" s="1087">
        <f t="shared" si="53"/>
        <v>52</v>
      </c>
      <c r="AQ41" s="1087">
        <f t="shared" si="53"/>
        <v>25</v>
      </c>
      <c r="AR41" s="1087">
        <f>INDEX(MO_RIS_NCI,0,COLUMN())</f>
        <v>38</v>
      </c>
      <c r="AS41" s="1087">
        <f>INDEX(MO_RIS_NCI,0,COLUMN())</f>
        <v>26</v>
      </c>
      <c r="AT41" s="1086">
        <f>INDEX(MO_RIS_NCI,0,COLUMN())</f>
        <v>141</v>
      </c>
      <c r="AU41" s="1087">
        <f t="shared" si="53"/>
        <v>26</v>
      </c>
      <c r="AV41" s="1087">
        <f>INDEX(MO_RIS_NCI,0,COLUMN())</f>
        <v>36</v>
      </c>
      <c r="AW41" s="1088">
        <f>INDEX(MO_RIS_NCI,0,COLUMN())</f>
        <v>41</v>
      </c>
      <c r="AX41" s="1087">
        <f t="shared" si="53"/>
        <v>50</v>
      </c>
      <c r="AY41" s="1086">
        <f t="shared" si="53"/>
        <v>153</v>
      </c>
      <c r="AZ41" s="1087">
        <f t="shared" ref="AZ41:BG41" si="54">INDEX(MO_RIS_NCI,0,COLUMN())</f>
        <v>50</v>
      </c>
      <c r="BA41" s="1087">
        <f t="shared" si="54"/>
        <v>50</v>
      </c>
      <c r="BB41" s="1087">
        <f t="shared" si="54"/>
        <v>50</v>
      </c>
      <c r="BC41" s="1087">
        <f t="shared" si="54"/>
        <v>50</v>
      </c>
      <c r="BD41" s="1086">
        <f t="shared" si="54"/>
        <v>200</v>
      </c>
      <c r="BE41" s="1086">
        <f t="shared" si="54"/>
        <v>200</v>
      </c>
      <c r="BF41" s="1086">
        <f t="shared" si="54"/>
        <v>200</v>
      </c>
      <c r="BG41" s="1086">
        <f t="shared" si="54"/>
        <v>200</v>
      </c>
      <c r="BH41" s="1030"/>
    </row>
    <row r="42" spans="1:60" s="75" customFormat="1" x14ac:dyDescent="0.25">
      <c r="A42" s="490" t="str">
        <f>INDEX(MO_RIS_Dividend_Prefs,0,COLUMN())</f>
        <v>Preferred stock dividends and other securities</v>
      </c>
      <c r="B42" s="491"/>
      <c r="C42" s="1080">
        <f t="shared" ref="C42:AH42" si="55">INDEX(MO_RIS_Dividend_Prefs,0,COLUMN())</f>
        <v>0</v>
      </c>
      <c r="D42" s="1080">
        <f t="shared" si="55"/>
        <v>0</v>
      </c>
      <c r="E42" s="1080">
        <f t="shared" si="55"/>
        <v>0</v>
      </c>
      <c r="F42" s="1080">
        <f t="shared" si="55"/>
        <v>0</v>
      </c>
      <c r="G42" s="1081">
        <f t="shared" si="55"/>
        <v>0</v>
      </c>
      <c r="H42" s="1081">
        <f t="shared" si="55"/>
        <v>0</v>
      </c>
      <c r="I42" s="1081">
        <f t="shared" si="55"/>
        <v>0</v>
      </c>
      <c r="J42" s="1081">
        <f t="shared" si="55"/>
        <v>0</v>
      </c>
      <c r="K42" s="1080">
        <f t="shared" si="55"/>
        <v>0</v>
      </c>
      <c r="L42" s="1081">
        <f t="shared" si="55"/>
        <v>0</v>
      </c>
      <c r="M42" s="1081">
        <f t="shared" si="55"/>
        <v>0</v>
      </c>
      <c r="N42" s="1081">
        <f t="shared" si="55"/>
        <v>0</v>
      </c>
      <c r="O42" s="1081">
        <f t="shared" si="55"/>
        <v>0</v>
      </c>
      <c r="P42" s="1080">
        <f t="shared" si="55"/>
        <v>0</v>
      </c>
      <c r="Q42" s="1081">
        <f t="shared" si="55"/>
        <v>0</v>
      </c>
      <c r="R42" s="1081">
        <f t="shared" si="55"/>
        <v>0</v>
      </c>
      <c r="S42" s="1081">
        <f t="shared" si="55"/>
        <v>0</v>
      </c>
      <c r="T42" s="1081">
        <f t="shared" si="55"/>
        <v>0</v>
      </c>
      <c r="U42" s="1080">
        <f t="shared" si="55"/>
        <v>0</v>
      </c>
      <c r="V42" s="1081">
        <f t="shared" si="55"/>
        <v>0</v>
      </c>
      <c r="W42" s="1081">
        <f t="shared" si="55"/>
        <v>0</v>
      </c>
      <c r="X42" s="1081">
        <f t="shared" si="55"/>
        <v>0</v>
      </c>
      <c r="Y42" s="1081">
        <f t="shared" si="55"/>
        <v>0</v>
      </c>
      <c r="Z42" s="1080">
        <f t="shared" si="55"/>
        <v>0</v>
      </c>
      <c r="AA42" s="1081">
        <f t="shared" si="55"/>
        <v>0</v>
      </c>
      <c r="AB42" s="1081">
        <f t="shared" si="55"/>
        <v>0</v>
      </c>
      <c r="AC42" s="1081">
        <f t="shared" si="55"/>
        <v>0</v>
      </c>
      <c r="AD42" s="1081">
        <f t="shared" si="55"/>
        <v>0</v>
      </c>
      <c r="AE42" s="1080">
        <f t="shared" si="55"/>
        <v>0</v>
      </c>
      <c r="AF42" s="1081">
        <f t="shared" si="55"/>
        <v>0</v>
      </c>
      <c r="AG42" s="1081">
        <f t="shared" si="55"/>
        <v>0</v>
      </c>
      <c r="AH42" s="1081">
        <f t="shared" si="55"/>
        <v>0</v>
      </c>
      <c r="AI42" s="1081">
        <f t="shared" ref="AI42:AY42" si="56">INDEX(MO_RIS_Dividend_Prefs,0,COLUMN())</f>
        <v>0</v>
      </c>
      <c r="AJ42" s="1080">
        <f t="shared" si="56"/>
        <v>0</v>
      </c>
      <c r="AK42" s="1081">
        <f t="shared" si="56"/>
        <v>7.6</v>
      </c>
      <c r="AL42" s="1081">
        <f t="shared" si="56"/>
        <v>0</v>
      </c>
      <c r="AM42" s="1081">
        <f t="shared" si="56"/>
        <v>0</v>
      </c>
      <c r="AN42" s="1081">
        <f t="shared" si="56"/>
        <v>0.40000000000000036</v>
      </c>
      <c r="AO42" s="1080">
        <f t="shared" si="56"/>
        <v>8</v>
      </c>
      <c r="AP42" s="1081">
        <f t="shared" si="56"/>
        <v>0</v>
      </c>
      <c r="AQ42" s="1081">
        <f t="shared" si="56"/>
        <v>0</v>
      </c>
      <c r="AR42" s="1081">
        <f>INDEX(MO_RIS_Dividend_Prefs,0,COLUMN())</f>
        <v>31</v>
      </c>
      <c r="AS42" s="1081">
        <f>INDEX(MO_RIS_Dividend_Prefs,0,COLUMN())</f>
        <v>0</v>
      </c>
      <c r="AT42" s="1080">
        <f>INDEX(MO_RIS_Dividend_Prefs,0,COLUMN())</f>
        <v>31</v>
      </c>
      <c r="AU42" s="1081">
        <f t="shared" si="56"/>
        <v>0</v>
      </c>
      <c r="AV42" s="1081">
        <f>INDEX(MO_RIS_Dividend_Prefs,0,COLUMN())</f>
        <v>0</v>
      </c>
      <c r="AW42" s="1082">
        <f>INDEX(MO_RIS_Dividend_Prefs,0,COLUMN())</f>
        <v>0</v>
      </c>
      <c r="AX42" s="1081">
        <f t="shared" si="56"/>
        <v>0</v>
      </c>
      <c r="AY42" s="1080">
        <f t="shared" si="56"/>
        <v>0</v>
      </c>
      <c r="AZ42" s="1081">
        <f t="shared" ref="AZ42:BG42" si="57">INDEX(MO_RIS_Dividend_Prefs,0,COLUMN())</f>
        <v>0</v>
      </c>
      <c r="BA42" s="1081">
        <f t="shared" si="57"/>
        <v>0</v>
      </c>
      <c r="BB42" s="1081">
        <f t="shared" si="57"/>
        <v>0</v>
      </c>
      <c r="BC42" s="1081">
        <f t="shared" si="57"/>
        <v>0</v>
      </c>
      <c r="BD42" s="1080">
        <f t="shared" si="57"/>
        <v>0</v>
      </c>
      <c r="BE42" s="1080">
        <f t="shared" si="57"/>
        <v>0</v>
      </c>
      <c r="BF42" s="1080">
        <f t="shared" si="57"/>
        <v>0</v>
      </c>
      <c r="BG42" s="1080">
        <f t="shared" si="57"/>
        <v>0</v>
      </c>
      <c r="BH42" s="1030"/>
    </row>
    <row r="43" spans="1:60" s="76" customFormat="1" x14ac:dyDescent="0.25">
      <c r="A43" s="329" t="str">
        <f>INDEX(MO_RIS_NI_ContinOp,0,COLUMN())</f>
        <v>Net Income from Continued Operation</v>
      </c>
      <c r="B43" s="330"/>
      <c r="C43" s="1083">
        <f t="shared" ref="C43:AH43" si="58">INDEX(SP_GF_EBT,0,COLUMN())-INDEX(SP_GF_Tax,0,COLUMN())-INDEX(SP_GF_DisCont,0,COLUMN())-INDEX(SP_GF_NCI,0,COLUMN())-INDEX(SP_GF_Div_Prefs,0,COLUMN())</f>
        <v>-55.740000000000009</v>
      </c>
      <c r="D43" s="1083">
        <f t="shared" si="58"/>
        <v>-154.328</v>
      </c>
      <c r="E43" s="1083">
        <f t="shared" si="58"/>
        <v>-254.41099999999997</v>
      </c>
      <c r="F43" s="1083">
        <f t="shared" si="58"/>
        <v>-396.21300000000002</v>
      </c>
      <c r="G43" s="1084">
        <f t="shared" si="58"/>
        <v>11.248000000000047</v>
      </c>
      <c r="H43" s="1084">
        <f t="shared" si="58"/>
        <v>-30.501999999999992</v>
      </c>
      <c r="I43" s="1084">
        <f t="shared" si="58"/>
        <v>-38.496000000000002</v>
      </c>
      <c r="J43" s="1084">
        <f t="shared" si="58"/>
        <v>-16.263999999999964</v>
      </c>
      <c r="K43" s="1083">
        <f t="shared" si="58"/>
        <v>-74.013999999999839</v>
      </c>
      <c r="L43" s="1084">
        <f t="shared" si="58"/>
        <v>-49.800000000000011</v>
      </c>
      <c r="M43" s="1084">
        <f t="shared" si="58"/>
        <v>-61.900000000000112</v>
      </c>
      <c r="N43" s="1084">
        <f t="shared" si="58"/>
        <v>-74.707999999999998</v>
      </c>
      <c r="O43" s="1084">
        <f t="shared" si="58"/>
        <v>-107.62900000000009</v>
      </c>
      <c r="P43" s="1083">
        <f t="shared" si="58"/>
        <v>-294.03999999999968</v>
      </c>
      <c r="Q43" s="1084">
        <f t="shared" si="58"/>
        <v>-154.1809999999999</v>
      </c>
      <c r="R43" s="1084">
        <f t="shared" si="58"/>
        <v>-184.22699999999998</v>
      </c>
      <c r="S43" s="1084">
        <f t="shared" si="58"/>
        <v>-229.858</v>
      </c>
      <c r="T43" s="1084">
        <f t="shared" si="58"/>
        <v>-320.39699999999993</v>
      </c>
      <c r="U43" s="1083">
        <f t="shared" si="58"/>
        <v>-888.66299999999978</v>
      </c>
      <c r="V43" s="1084">
        <f t="shared" si="58"/>
        <v>-282.267</v>
      </c>
      <c r="W43" s="1084">
        <f t="shared" si="58"/>
        <v>-293.18799999999993</v>
      </c>
      <c r="X43" s="1084">
        <f t="shared" si="58"/>
        <v>21.877999999999698</v>
      </c>
      <c r="Y43" s="1084">
        <f t="shared" si="58"/>
        <v>-121.33700000000022</v>
      </c>
      <c r="Z43" s="1083">
        <f t="shared" si="58"/>
        <v>-674.91400000000044</v>
      </c>
      <c r="AA43" s="1084">
        <f t="shared" si="58"/>
        <v>-330.27699999999999</v>
      </c>
      <c r="AB43" s="1084">
        <f t="shared" si="58"/>
        <v>-336.39700000000016</v>
      </c>
      <c r="AC43" s="1084">
        <f t="shared" si="58"/>
        <v>-619.37599999999975</v>
      </c>
      <c r="AD43" s="1084">
        <f t="shared" si="58"/>
        <v>-675.3500000000007</v>
      </c>
      <c r="AE43" s="1083">
        <f t="shared" si="58"/>
        <v>-1961.3999999999992</v>
      </c>
      <c r="AF43" s="1084">
        <f t="shared" si="58"/>
        <v>-709.55100000000016</v>
      </c>
      <c r="AG43" s="1084">
        <f t="shared" si="58"/>
        <v>-717.53900000000112</v>
      </c>
      <c r="AH43" s="1084">
        <f t="shared" si="58"/>
        <v>311.51599999999996</v>
      </c>
      <c r="AI43" s="1084">
        <f t="shared" ref="AI43:AY43" si="59">INDEX(SP_GF_EBT,0,COLUMN())-INDEX(SP_GF_Tax,0,COLUMN())-INDEX(SP_GF_DisCont,0,COLUMN())-INDEX(SP_GF_NCI,0,COLUMN())-INDEX(SP_GF_Div_Prefs,0,COLUMN())</f>
        <v>139.48300000000046</v>
      </c>
      <c r="AJ43" s="1083">
        <f t="shared" si="59"/>
        <v>-976.09099999999921</v>
      </c>
      <c r="AK43" s="1084">
        <f t="shared" si="59"/>
        <v>-709.73500000000013</v>
      </c>
      <c r="AL43" s="1084">
        <f t="shared" si="59"/>
        <v>-408.33400000000057</v>
      </c>
      <c r="AM43" s="1084">
        <f t="shared" si="59"/>
        <v>143</v>
      </c>
      <c r="AN43" s="1084">
        <f t="shared" si="59"/>
        <v>105.06899999999943</v>
      </c>
      <c r="AO43" s="1083">
        <f t="shared" si="59"/>
        <v>-870</v>
      </c>
      <c r="AP43" s="1084">
        <f t="shared" si="59"/>
        <v>16</v>
      </c>
      <c r="AQ43" s="1084">
        <f t="shared" si="59"/>
        <v>104</v>
      </c>
      <c r="AR43" s="1084">
        <f>INDEX(SP_GF_EBT,0,COLUMN())-INDEX(SP_GF_Tax,0,COLUMN())-INDEX(SP_GF_DisCont,0,COLUMN())-INDEX(SP_GF_NCI,0,COLUMN())-INDEX(SP_GF_Div_Prefs,0,COLUMN())</f>
        <v>300</v>
      </c>
      <c r="AS43" s="1084">
        <f>INDEX(SP_GF_EBT,0,COLUMN())-INDEX(SP_GF_Tax,0,COLUMN())-INDEX(SP_GF_DisCont,0,COLUMN())-INDEX(SP_GF_NCI,0,COLUMN())-INDEX(SP_GF_Div_Prefs,0,COLUMN())</f>
        <v>270</v>
      </c>
      <c r="AT43" s="1083">
        <f>INDEX(SP_GF_EBT,0,COLUMN())-INDEX(SP_GF_Tax,0,COLUMN())-INDEX(SP_GF_DisCont,0,COLUMN())-INDEX(SP_GF_NCI,0,COLUMN())-INDEX(SP_GF_Div_Prefs,0,COLUMN())</f>
        <v>690</v>
      </c>
      <c r="AU43" s="1084">
        <f t="shared" si="59"/>
        <v>438</v>
      </c>
      <c r="AV43" s="1084">
        <f>INDEX(SP_GF_EBT,0,COLUMN())-INDEX(SP_GF_Tax,0,COLUMN())-INDEX(SP_GF_DisCont,0,COLUMN())-INDEX(SP_GF_NCI,0,COLUMN())-INDEX(SP_GF_Div_Prefs,0,COLUMN())</f>
        <v>1142</v>
      </c>
      <c r="AW43" s="1085">
        <f>INDEX(SP_GF_EBT,0,COLUMN())-INDEX(SP_GF_Tax,0,COLUMN())-INDEX(SP_GF_DisCont,0,COLUMN())-INDEX(SP_GF_NCI,0,COLUMN())-INDEX(SP_GF_Div_Prefs,0,COLUMN())</f>
        <v>1618</v>
      </c>
      <c r="AX43" s="1084">
        <f t="shared" si="59"/>
        <v>1716.3436034073657</v>
      </c>
      <c r="AY43" s="1083">
        <f t="shared" si="59"/>
        <v>4914.3436034073657</v>
      </c>
      <c r="AZ43" s="1084">
        <f t="shared" ref="AZ43:BG43" ca="1" si="60">INDEX(SP_GF_EBT,0,COLUMN())-INDEX(SP_GF_Tax,0,COLUMN())-INDEX(SP_GF_DisCont,0,COLUMN())-INDEX(SP_GF_NCI,0,COLUMN())-INDEX(SP_GF_Div_Prefs,0,COLUMN())</f>
        <v>2386.0676255690132</v>
      </c>
      <c r="BA43" s="1084">
        <f t="shared" ca="1" si="60"/>
        <v>2747.9120988816835</v>
      </c>
      <c r="BB43" s="1084">
        <f t="shared" ca="1" si="60"/>
        <v>3641.4401737867956</v>
      </c>
      <c r="BC43" s="1084">
        <f t="shared" ca="1" si="60"/>
        <v>3564.3094272453732</v>
      </c>
      <c r="BD43" s="1083">
        <f t="shared" ca="1" si="60"/>
        <v>12339.729325482866</v>
      </c>
      <c r="BE43" s="1083">
        <f t="shared" ca="1" si="60"/>
        <v>15467.344831355676</v>
      </c>
      <c r="BF43" s="1083">
        <f t="shared" ca="1" si="60"/>
        <v>19187.669810803418</v>
      </c>
      <c r="BG43" s="1083">
        <f t="shared" ca="1" si="60"/>
        <v>23626.957541952066</v>
      </c>
      <c r="BH43" s="1032"/>
    </row>
    <row r="44" spans="1:60" s="74" customFormat="1" x14ac:dyDescent="0.25">
      <c r="A44" s="339" t="s">
        <v>387</v>
      </c>
      <c r="B44" s="341"/>
      <c r="C44" s="130"/>
      <c r="D44" s="130">
        <f t="shared" ref="D44:AI44" si="61">INDEX(SP_GF_NI,0,COLUMN())/INDEX(SP_CS_ShareCount,0,COLUMN())</f>
        <v>-0.60856926953114476</v>
      </c>
      <c r="E44" s="130">
        <f t="shared" si="61"/>
        <v>-0.50685035213021346</v>
      </c>
      <c r="F44" s="130">
        <f t="shared" si="61"/>
        <v>-0.73817734678478608</v>
      </c>
      <c r="G44" s="137">
        <f t="shared" si="61"/>
        <v>1.8103204553689935E-2</v>
      </c>
      <c r="H44" s="137">
        <f t="shared" si="61"/>
        <v>-4.6745285548991204E-2</v>
      </c>
      <c r="I44" s="137">
        <f t="shared" si="61"/>
        <v>-5.614485419051856E-2</v>
      </c>
      <c r="J44" s="137">
        <f t="shared" si="61"/>
        <v>-2.3607966091853866E-2</v>
      </c>
      <c r="K44" s="130">
        <f t="shared" si="61"/>
        <v>-0.11084420349542455</v>
      </c>
      <c r="L44" s="137">
        <f t="shared" si="61"/>
        <v>-7.1030730061830985E-2</v>
      </c>
      <c r="M44" s="137">
        <f t="shared" si="61"/>
        <v>-8.783381105088417E-2</v>
      </c>
      <c r="N44" s="137">
        <f t="shared" si="61"/>
        <v>-0.1046719020364701</v>
      </c>
      <c r="O44" s="137">
        <f t="shared" si="61"/>
        <v>-0.17152441891041234</v>
      </c>
      <c r="P44" s="130">
        <f t="shared" si="61"/>
        <v>-0.41349730349245145</v>
      </c>
      <c r="Q44" s="137">
        <f t="shared" si="61"/>
        <v>-0.24483473206983875</v>
      </c>
      <c r="R44" s="137">
        <f t="shared" si="61"/>
        <v>-0.29083402074635589</v>
      </c>
      <c r="S44" s="137">
        <f t="shared" si="61"/>
        <v>-0.35635241771700543</v>
      </c>
      <c r="T44" s="137">
        <f t="shared" si="61"/>
        <v>-0.4887826086956521</v>
      </c>
      <c r="U44" s="130">
        <f t="shared" si="61"/>
        <v>-1.3863481068938079</v>
      </c>
      <c r="V44" s="137">
        <f t="shared" si="61"/>
        <v>-0.42549820615635087</v>
      </c>
      <c r="W44" s="137">
        <f t="shared" si="61"/>
        <v>-0.41889086531936015</v>
      </c>
      <c r="X44" s="137">
        <f t="shared" si="61"/>
        <v>2.9368216872159656E-2</v>
      </c>
      <c r="Y44" s="137">
        <f t="shared" si="61"/>
        <v>-0.15653963257302123</v>
      </c>
      <c r="Z44" s="130">
        <f t="shared" si="61"/>
        <v>-0.93600255179874148</v>
      </c>
      <c r="AA44" s="137">
        <f t="shared" si="61"/>
        <v>-0.40742495173596333</v>
      </c>
      <c r="AB44" s="137">
        <f t="shared" si="61"/>
        <v>-0.40723070963368302</v>
      </c>
      <c r="AC44" s="137">
        <f t="shared" si="61"/>
        <v>-0.74046409315337036</v>
      </c>
      <c r="AD44" s="137">
        <f t="shared" si="61"/>
        <v>-0.8024882065662996</v>
      </c>
      <c r="AE44" s="130">
        <f t="shared" si="61"/>
        <v>-2.3665826083808916</v>
      </c>
      <c r="AF44" s="137">
        <f t="shared" si="61"/>
        <v>-0.83898052569969173</v>
      </c>
      <c r="AG44" s="137">
        <f t="shared" si="61"/>
        <v>-0.84417842667811904</v>
      </c>
      <c r="AH44" s="137">
        <f t="shared" si="61"/>
        <v>0.34963298839480117</v>
      </c>
      <c r="AI44" s="137">
        <f t="shared" si="61"/>
        <v>0.15582429367801373</v>
      </c>
      <c r="AJ44" s="130">
        <f t="shared" ref="AJ44:AY44" si="62">INDEX(SP_GF_NI,0,COLUMN())/INDEX(SP_CS_ShareCount,0,COLUMN())</f>
        <v>-1.144806919806479</v>
      </c>
      <c r="AK44" s="137">
        <f t="shared" si="62"/>
        <v>-0.82055506419483326</v>
      </c>
      <c r="AL44" s="137">
        <f t="shared" si="62"/>
        <v>-0.4622980515584143</v>
      </c>
      <c r="AM44" s="137">
        <f t="shared" si="62"/>
        <v>0.15543478260869564</v>
      </c>
      <c r="AN44" s="137">
        <f t="shared" si="62"/>
        <v>0.11237326203208496</v>
      </c>
      <c r="AO44" s="130">
        <f t="shared" si="62"/>
        <v>-0.98305084745762716</v>
      </c>
      <c r="AP44" s="137">
        <f t="shared" si="62"/>
        <v>1.6080402010050253E-2</v>
      </c>
      <c r="AQ44" s="137">
        <f t="shared" si="62"/>
        <v>0.10048309178743961</v>
      </c>
      <c r="AR44" s="137">
        <f>INDEX(SP_GF_NI,0,COLUMN())/INDEX(SP_CS_ShareCount,0,COLUMN())</f>
        <v>0.27149321266968324</v>
      </c>
      <c r="AS44" s="137">
        <f>INDEX(SP_GF_NI,0,COLUMN())/INDEX(SP_CS_ShareCount,0,COLUMN())</f>
        <v>0.2402135231316726</v>
      </c>
      <c r="AT44" s="130">
        <f>INDEX(SP_GF_NI,0,COLUMN())/INDEX(SP_CS_ShareCount,0,COLUMN())</f>
        <v>0.63711911357340723</v>
      </c>
      <c r="AU44" s="137">
        <f t="shared" si="62"/>
        <v>0.38658428949691087</v>
      </c>
      <c r="AV44" s="137">
        <f>INDEX(SP_GF_NI,0,COLUMN())/INDEX(SP_CS_ShareCount,0,COLUMN())</f>
        <v>1.0205540661304737</v>
      </c>
      <c r="AW44" s="763">
        <f>INDEX(SP_GF_NI,0,COLUMN())/INDEX(SP_CS_ShareCount,0,COLUMN())</f>
        <v>1.4407836153161175</v>
      </c>
      <c r="AX44" s="137">
        <f t="shared" ca="1" si="62"/>
        <v>1.528355835625437</v>
      </c>
      <c r="AY44" s="130">
        <f t="shared" ca="1" si="62"/>
        <v>4.3702477575876975</v>
      </c>
      <c r="AZ44" s="137">
        <f t="shared" ref="AZ44:BG44" ca="1" si="63">INDEX(SP_GF_NI,0,COLUMN())/INDEX(SP_CS_ShareCount,0,COLUMN())</f>
        <v>2.1247262916910179</v>
      </c>
      <c r="BA44" s="137">
        <f t="shared" ca="1" si="63"/>
        <v>2.4469386454868065</v>
      </c>
      <c r="BB44" s="137">
        <f t="shared" ca="1" si="63"/>
        <v>3.2426003328466568</v>
      </c>
      <c r="BC44" s="137">
        <f t="shared" ca="1" si="63"/>
        <v>3.1739175665586581</v>
      </c>
      <c r="BD44" s="130">
        <f t="shared" ca="1" si="63"/>
        <v>10.988182836583139</v>
      </c>
      <c r="BE44" s="130">
        <f t="shared" ca="1" si="63"/>
        <v>13.773236715365696</v>
      </c>
      <c r="BF44" s="130">
        <f t="shared" ca="1" si="63"/>
        <v>17.086081754945162</v>
      </c>
      <c r="BG44" s="130">
        <f t="shared" ca="1" si="63"/>
        <v>21.039142958105135</v>
      </c>
      <c r="BH44" s="137"/>
    </row>
    <row r="45" spans="1:60" s="75" customFormat="1" x14ac:dyDescent="0.25">
      <c r="A45" s="327"/>
      <c r="B45" s="328"/>
      <c r="C45" s="1086"/>
      <c r="D45" s="1086"/>
      <c r="E45" s="1086"/>
      <c r="F45" s="1086"/>
      <c r="G45" s="1087"/>
      <c r="H45" s="1087"/>
      <c r="I45" s="1087"/>
      <c r="J45" s="1087"/>
      <c r="K45" s="1086"/>
      <c r="L45" s="1087"/>
      <c r="M45" s="1087"/>
      <c r="N45" s="1087"/>
      <c r="O45" s="1087"/>
      <c r="P45" s="1086"/>
      <c r="Q45" s="1087"/>
      <c r="R45" s="1087"/>
      <c r="S45" s="1087"/>
      <c r="T45" s="1087"/>
      <c r="U45" s="1086"/>
      <c r="V45" s="1087"/>
      <c r="W45" s="1087"/>
      <c r="X45" s="1087"/>
      <c r="Y45" s="1087"/>
      <c r="Z45" s="1086"/>
      <c r="AA45" s="1087"/>
      <c r="AB45" s="1087"/>
      <c r="AC45" s="1087"/>
      <c r="AD45" s="1087"/>
      <c r="AE45" s="1086"/>
      <c r="AF45" s="1087"/>
      <c r="AG45" s="1087"/>
      <c r="AH45" s="1087"/>
      <c r="AI45" s="1087"/>
      <c r="AJ45" s="1086"/>
      <c r="AK45" s="1087"/>
      <c r="AL45" s="1087"/>
      <c r="AM45" s="1087"/>
      <c r="AN45" s="1087"/>
      <c r="AO45" s="1086"/>
      <c r="AP45" s="1087"/>
      <c r="AQ45" s="1087"/>
      <c r="AR45" s="1087"/>
      <c r="AS45" s="1087"/>
      <c r="AT45" s="1086"/>
      <c r="AU45" s="1087"/>
      <c r="AV45" s="1087"/>
      <c r="AW45" s="1088"/>
      <c r="AX45" s="1087"/>
      <c r="AY45" s="1086"/>
      <c r="AZ45" s="1087"/>
      <c r="BA45" s="1087"/>
      <c r="BB45" s="1087"/>
      <c r="BC45" s="1087"/>
      <c r="BD45" s="1086"/>
      <c r="BE45" s="1086"/>
      <c r="BF45" s="1086"/>
      <c r="BG45" s="1086"/>
      <c r="BH45" s="1030"/>
    </row>
    <row r="46" spans="1:60" x14ac:dyDescent="0.25">
      <c r="A46" s="197" t="s">
        <v>388</v>
      </c>
      <c r="B46" s="198"/>
      <c r="C46" s="198"/>
      <c r="D46" s="198"/>
      <c r="E46" s="198"/>
      <c r="F46" s="198"/>
      <c r="G46" s="198"/>
      <c r="H46" s="198"/>
      <c r="I46" s="198"/>
      <c r="J46" s="198"/>
      <c r="K46" s="198"/>
      <c r="L46" s="198"/>
      <c r="M46" s="198"/>
      <c r="N46" s="198"/>
      <c r="O46" s="198"/>
      <c r="P46" s="198"/>
      <c r="Q46" s="198"/>
      <c r="R46" s="198"/>
      <c r="S46" s="198"/>
      <c r="T46" s="198"/>
      <c r="U46" s="198"/>
      <c r="V46" s="198"/>
      <c r="W46" s="198"/>
      <c r="X46" s="198"/>
      <c r="Y46" s="198"/>
      <c r="Z46" s="198"/>
      <c r="AA46" s="198"/>
      <c r="AB46" s="198"/>
      <c r="AC46" s="198"/>
      <c r="AD46" s="198"/>
      <c r="AE46" s="198"/>
      <c r="AF46" s="198"/>
      <c r="AG46" s="198"/>
      <c r="AH46" s="198"/>
      <c r="AI46" s="198"/>
      <c r="AJ46" s="198"/>
      <c r="AK46" s="198"/>
      <c r="AL46" s="198"/>
      <c r="AM46" s="198"/>
      <c r="AN46" s="198"/>
      <c r="AO46" s="198"/>
      <c r="AP46" s="198"/>
      <c r="AQ46" s="198"/>
      <c r="AR46" s="198"/>
      <c r="AS46" s="198"/>
      <c r="AT46" s="198"/>
      <c r="AU46" s="198"/>
      <c r="AV46" s="198"/>
      <c r="AW46" s="764"/>
      <c r="AX46" s="198"/>
      <c r="AY46" s="198"/>
      <c r="AZ46" s="198"/>
      <c r="BA46" s="198"/>
      <c r="BB46" s="198"/>
      <c r="BC46" s="198"/>
      <c r="BD46" s="198"/>
      <c r="BE46" s="198"/>
      <c r="BF46" s="198"/>
      <c r="BG46" s="198"/>
      <c r="BH46" s="299"/>
    </row>
    <row r="47" spans="1:60" s="76" customFormat="1" x14ac:dyDescent="0.25">
      <c r="A47" s="326" t="str">
        <f>INDEX(MO_RIS_EBITDA_Adj,0,COLUMN())</f>
        <v>Adjusted EBITDA (No Adjustments)</v>
      </c>
      <c r="B47" s="331"/>
      <c r="C47" s="1089">
        <f t="shared" ref="C47:AH47" si="64">INDEX(MO_RIS_EBITDA_Adj,0,COLUMN())</f>
        <v>-43.523000000000003</v>
      </c>
      <c r="D47" s="1089">
        <f t="shared" si="64"/>
        <v>-115.059</v>
      </c>
      <c r="E47" s="1089">
        <f t="shared" si="64"/>
        <v>-205.14999999999995</v>
      </c>
      <c r="F47" s="1089">
        <f t="shared" si="64"/>
        <v>-315.31299999999999</v>
      </c>
      <c r="G47" s="1090">
        <f t="shared" si="64"/>
        <v>27.134000000000057</v>
      </c>
      <c r="H47" s="1090">
        <f t="shared" si="64"/>
        <v>29.664999999999999</v>
      </c>
      <c r="I47" s="1090">
        <f t="shared" si="64"/>
        <v>19.335000000000001</v>
      </c>
      <c r="J47" s="1090">
        <f t="shared" si="64"/>
        <v>63.390000000000043</v>
      </c>
      <c r="K47" s="1089">
        <f t="shared" si="64"/>
        <v>139.52400000000011</v>
      </c>
      <c r="L47" s="1090">
        <f t="shared" si="64"/>
        <v>37.338999999999984</v>
      </c>
      <c r="M47" s="1090">
        <f t="shared" si="64"/>
        <v>61.744999999999905</v>
      </c>
      <c r="N47" s="1090">
        <f t="shared" si="64"/>
        <v>65.000999999999991</v>
      </c>
      <c r="O47" s="1090">
        <f t="shared" si="64"/>
        <v>37.654999999999916</v>
      </c>
      <c r="P47" s="1089">
        <f t="shared" si="64"/>
        <v>201.7380000000004</v>
      </c>
      <c r="Q47" s="1090">
        <f t="shared" si="64"/>
        <v>17.692000000000078</v>
      </c>
      <c r="R47" s="1090">
        <f t="shared" si="64"/>
        <v>-35.46399999999997</v>
      </c>
      <c r="S47" s="1090">
        <f t="shared" si="64"/>
        <v>-17.263000000000034</v>
      </c>
      <c r="T47" s="1090">
        <f t="shared" si="64"/>
        <v>-61.004999999999939</v>
      </c>
      <c r="U47" s="1089">
        <f t="shared" si="64"/>
        <v>-96.039999999999964</v>
      </c>
      <c r="V47" s="1090">
        <f t="shared" si="64"/>
        <v>-2.1070000000000277</v>
      </c>
      <c r="W47" s="1090">
        <f t="shared" si="64"/>
        <v>12.504000000000019</v>
      </c>
      <c r="X47" s="1090">
        <f t="shared" si="64"/>
        <v>455.6329999999997</v>
      </c>
      <c r="Y47" s="1090">
        <f t="shared" si="64"/>
        <v>147.95199999999988</v>
      </c>
      <c r="Z47" s="1089">
        <f t="shared" si="64"/>
        <v>613.98399999999947</v>
      </c>
      <c r="AA47" s="1090">
        <f t="shared" si="64"/>
        <v>222.76999999999998</v>
      </c>
      <c r="AB47" s="1090">
        <f t="shared" si="64"/>
        <v>264.29699999999985</v>
      </c>
      <c r="AC47" s="1090">
        <f t="shared" si="64"/>
        <v>-22.202999999999861</v>
      </c>
      <c r="AD47" s="1090">
        <f t="shared" si="64"/>
        <v>5.8129999999991924</v>
      </c>
      <c r="AE47" s="1089">
        <f t="shared" si="64"/>
        <v>470.67700000000059</v>
      </c>
      <c r="AF47" s="1090">
        <f t="shared" si="64"/>
        <v>-39.102000000000089</v>
      </c>
      <c r="AG47" s="1090">
        <f t="shared" si="64"/>
        <v>61.206999999999084</v>
      </c>
      <c r="AH47" s="1090">
        <f t="shared" si="64"/>
        <v>1124.3100000000002</v>
      </c>
      <c r="AI47" s="1090">
        <f t="shared" ref="AI47:AY47" si="65">INDEX(MO_RIS_EBITDA_Adj,0,COLUMN())</f>
        <v>1115.5860000000002</v>
      </c>
      <c r="AJ47" s="1089">
        <f t="shared" si="65"/>
        <v>2262.0010000000007</v>
      </c>
      <c r="AK47" s="1090">
        <f t="shared" si="65"/>
        <v>154.1239999999998</v>
      </c>
      <c r="AL47" s="1090">
        <f t="shared" si="65"/>
        <v>620.97699999999941</v>
      </c>
      <c r="AM47" s="1090">
        <f t="shared" si="65"/>
        <v>990.85100000000011</v>
      </c>
      <c r="AN47" s="1090">
        <f t="shared" si="65"/>
        <v>1217.0479999999995</v>
      </c>
      <c r="AO47" s="1089">
        <f t="shared" si="65"/>
        <v>2983</v>
      </c>
      <c r="AP47" s="1090">
        <f t="shared" si="65"/>
        <v>1047</v>
      </c>
      <c r="AQ47" s="1090">
        <f t="shared" si="65"/>
        <v>1241</v>
      </c>
      <c r="AR47" s="1090">
        <f>INDEX(MO_RIS_EBITDA_Adj,0,COLUMN())</f>
        <v>1936</v>
      </c>
      <c r="AS47" s="1090">
        <f>INDEX(MO_RIS_EBITDA_Adj,0,COLUMN())</f>
        <v>1826</v>
      </c>
      <c r="AT47" s="1089">
        <f>INDEX(MO_RIS_EBITDA_Adj,0,COLUMN())</f>
        <v>6050</v>
      </c>
      <c r="AU47" s="1090">
        <f t="shared" si="65"/>
        <v>1829</v>
      </c>
      <c r="AV47" s="1090">
        <f>INDEX(MO_RIS_EBITDA_Adj,0,COLUMN())</f>
        <v>2467</v>
      </c>
      <c r="AW47" s="1091">
        <f>INDEX(MO_RIS_EBITDA_Adj,0,COLUMN())</f>
        <v>3240</v>
      </c>
      <c r="AX47" s="1090">
        <f t="shared" si="65"/>
        <v>3480.328970777487</v>
      </c>
      <c r="AY47" s="1089">
        <f t="shared" si="65"/>
        <v>11016.328970777487</v>
      </c>
      <c r="AZ47" s="1090">
        <f t="shared" ref="AZ47:BG47" si="66">INDEX(MO_RIS_EBITDA_Adj,0,COLUMN())</f>
        <v>4326.1645716748935</v>
      </c>
      <c r="BA47" s="1090">
        <f t="shared" si="66"/>
        <v>4815.5992831398398</v>
      </c>
      <c r="BB47" s="1090">
        <f t="shared" si="66"/>
        <v>5977.1332091184659</v>
      </c>
      <c r="BC47" s="1090">
        <f t="shared" si="66"/>
        <v>5899.4360767170583</v>
      </c>
      <c r="BD47" s="1089">
        <f t="shared" si="66"/>
        <v>21018.333140650258</v>
      </c>
      <c r="BE47" s="1089">
        <f t="shared" si="66"/>
        <v>25191.454647722221</v>
      </c>
      <c r="BF47" s="1089">
        <f t="shared" si="66"/>
        <v>30216.848896401832</v>
      </c>
      <c r="BG47" s="1089">
        <f t="shared" si="66"/>
        <v>36092.769833139719</v>
      </c>
      <c r="BH47" s="1032"/>
    </row>
    <row r="48" spans="1:60" s="76" customFormat="1" x14ac:dyDescent="0.25">
      <c r="A48" s="326" t="str">
        <f>INDEX(MO_RIS_EBIT_Adj,0,COLUMN())</f>
        <v>Adjusted EBIT (No Adjustments)</v>
      </c>
      <c r="B48" s="331"/>
      <c r="C48" s="1089">
        <f t="shared" ref="C48:AH48" si="67">INDEX(MO_RIS_EBIT_Adj,0,COLUMN())</f>
        <v>-51.897000000000006</v>
      </c>
      <c r="D48" s="1089">
        <f t="shared" si="67"/>
        <v>-146.83799999999999</v>
      </c>
      <c r="E48" s="1089">
        <f t="shared" si="67"/>
        <v>-251.48799999999994</v>
      </c>
      <c r="F48" s="1089">
        <f t="shared" si="67"/>
        <v>-394.28300000000002</v>
      </c>
      <c r="G48" s="1090">
        <f t="shared" si="67"/>
        <v>-5.5839999999999463</v>
      </c>
      <c r="H48" s="1090">
        <f t="shared" si="67"/>
        <v>-11.792000000000002</v>
      </c>
      <c r="I48" s="1090">
        <f t="shared" si="67"/>
        <v>-30.554000000000002</v>
      </c>
      <c r="J48" s="1090">
        <f t="shared" si="67"/>
        <v>-13.352999999999952</v>
      </c>
      <c r="K48" s="1089">
        <f t="shared" si="67"/>
        <v>-61.282999999999902</v>
      </c>
      <c r="L48" s="1090">
        <f t="shared" si="67"/>
        <v>-43.967000000000013</v>
      </c>
      <c r="M48" s="1090">
        <f t="shared" si="67"/>
        <v>-28.7530000000001</v>
      </c>
      <c r="N48" s="1090">
        <f t="shared" si="67"/>
        <v>-39.129000000000019</v>
      </c>
      <c r="O48" s="1090">
        <f t="shared" si="67"/>
        <v>-74.838000000000079</v>
      </c>
      <c r="P48" s="1089">
        <f t="shared" si="67"/>
        <v>-186.68899999999962</v>
      </c>
      <c r="Q48" s="1090">
        <f t="shared" si="67"/>
        <v>-102.44599999999991</v>
      </c>
      <c r="R48" s="1090">
        <f t="shared" si="67"/>
        <v>-170.18799999999999</v>
      </c>
      <c r="S48" s="1090">
        <f t="shared" si="67"/>
        <v>-183.66200000000003</v>
      </c>
      <c r="T48" s="1090">
        <f t="shared" si="67"/>
        <v>-260.33299999999991</v>
      </c>
      <c r="U48" s="1089">
        <f t="shared" si="67"/>
        <v>-716.62899999999991</v>
      </c>
      <c r="V48" s="1090">
        <f t="shared" si="67"/>
        <v>-248.22400000000005</v>
      </c>
      <c r="W48" s="1090">
        <f t="shared" si="67"/>
        <v>-238.03999999999996</v>
      </c>
      <c r="X48" s="1090">
        <f t="shared" si="67"/>
        <v>85.62199999999973</v>
      </c>
      <c r="Y48" s="1090">
        <f t="shared" si="67"/>
        <v>-266.69800000000021</v>
      </c>
      <c r="Z48" s="1089">
        <f t="shared" si="67"/>
        <v>-667.3400000000006</v>
      </c>
      <c r="AA48" s="1090">
        <f t="shared" si="67"/>
        <v>-257.54899999999998</v>
      </c>
      <c r="AB48" s="1090">
        <f t="shared" si="67"/>
        <v>-240.91600000000017</v>
      </c>
      <c r="AC48" s="1090">
        <f t="shared" si="67"/>
        <v>-535.47999999999979</v>
      </c>
      <c r="AD48" s="1090">
        <f t="shared" si="67"/>
        <v>-598.14100000000076</v>
      </c>
      <c r="AE48" s="1089">
        <f t="shared" si="67"/>
        <v>-1632.0859999999993</v>
      </c>
      <c r="AF48" s="1090">
        <f t="shared" si="67"/>
        <v>-596.97400000000016</v>
      </c>
      <c r="AG48" s="1090">
        <f t="shared" si="67"/>
        <v>-621.39200000000096</v>
      </c>
      <c r="AH48" s="1090">
        <f t="shared" si="67"/>
        <v>416.75700000000006</v>
      </c>
      <c r="AI48" s="1090">
        <f t="shared" ref="AI48:BG48" si="68">INDEX(MO_RIS_EBIT_Adj,0,COLUMN())</f>
        <v>413.53600000000051</v>
      </c>
      <c r="AJ48" s="1089">
        <f t="shared" si="68"/>
        <v>-388.07299999999941</v>
      </c>
      <c r="AK48" s="1090">
        <f t="shared" si="68"/>
        <v>-521.83100000000013</v>
      </c>
      <c r="AL48" s="1090">
        <f t="shared" si="68"/>
        <v>-167.45800000000054</v>
      </c>
      <c r="AM48" s="1090">
        <f t="shared" si="68"/>
        <v>261</v>
      </c>
      <c r="AN48" s="1090">
        <f t="shared" si="68"/>
        <v>359.28899999999953</v>
      </c>
      <c r="AO48" s="1089">
        <f t="shared" si="68"/>
        <v>-69</v>
      </c>
      <c r="AP48" s="1090">
        <f t="shared" si="68"/>
        <v>283</v>
      </c>
      <c r="AQ48" s="1090">
        <f t="shared" si="68"/>
        <v>327</v>
      </c>
      <c r="AR48" s="1090">
        <f t="shared" si="68"/>
        <v>809</v>
      </c>
      <c r="AS48" s="1090">
        <f t="shared" si="68"/>
        <v>575</v>
      </c>
      <c r="AT48" s="1089">
        <f t="shared" si="68"/>
        <v>1994</v>
      </c>
      <c r="AU48" s="1090">
        <f t="shared" si="68"/>
        <v>594</v>
      </c>
      <c r="AV48" s="1090">
        <f t="shared" si="68"/>
        <v>1312</v>
      </c>
      <c r="AW48" s="1091">
        <f t="shared" si="68"/>
        <v>2004</v>
      </c>
      <c r="AX48" s="1090">
        <f t="shared" si="68"/>
        <v>2314.2571351610486</v>
      </c>
      <c r="AY48" s="1089">
        <f t="shared" si="68"/>
        <v>6224.2571351610486</v>
      </c>
      <c r="AZ48" s="1090">
        <f t="shared" si="68"/>
        <v>3160.2765559195923</v>
      </c>
      <c r="BA48" s="1090">
        <f t="shared" si="68"/>
        <v>3617.7280743631654</v>
      </c>
      <c r="BB48" s="1090">
        <f t="shared" si="68"/>
        <v>4747.8993092370511</v>
      </c>
      <c r="BC48" s="1090">
        <f t="shared" si="68"/>
        <v>4647.4101953207473</v>
      </c>
      <c r="BD48" s="1089">
        <f t="shared" si="68"/>
        <v>16173.314134840555</v>
      </c>
      <c r="BE48" s="1089">
        <f t="shared" si="68"/>
        <v>20118.947688603952</v>
      </c>
      <c r="BF48" s="1089">
        <f t="shared" si="68"/>
        <v>24805.309969958224</v>
      </c>
      <c r="BG48" s="1089">
        <f t="shared" si="68"/>
        <v>30394.006130766487</v>
      </c>
      <c r="BH48" s="1032"/>
    </row>
    <row r="49" spans="1:60" s="76" customFormat="1" x14ac:dyDescent="0.25">
      <c r="A49" s="326" t="str">
        <f>INDEX(MO_RIS_NI_NONGAAP_Diluted,0,COLUMN())</f>
        <v>Adjusted Net Income</v>
      </c>
      <c r="B49" s="331"/>
      <c r="C49" s="1089">
        <f t="shared" ref="C49:AH49" si="69">INDEX(MO_RIS_NI_NONGAAP_Diluted,0,COLUMN())</f>
        <v>-53.178000000000011</v>
      </c>
      <c r="D49" s="1089">
        <f t="shared" si="69"/>
        <v>-128.15</v>
      </c>
      <c r="E49" s="1089">
        <f t="shared" si="69"/>
        <v>-222.24199999999996</v>
      </c>
      <c r="F49" s="1089">
        <f t="shared" si="69"/>
        <v>-344.214</v>
      </c>
      <c r="G49" s="1090">
        <f t="shared" si="69"/>
        <v>15.424000000000055</v>
      </c>
      <c r="H49" s="1090">
        <f t="shared" si="69"/>
        <v>26.282999999999998</v>
      </c>
      <c r="I49" s="1090">
        <f t="shared" si="69"/>
        <v>15.934999999999995</v>
      </c>
      <c r="J49" s="1090">
        <f t="shared" si="69"/>
        <v>45.920000000000044</v>
      </c>
      <c r="K49" s="1089">
        <f t="shared" si="69"/>
        <v>103.56200000000013</v>
      </c>
      <c r="L49" s="1090">
        <f t="shared" si="69"/>
        <v>17.014999999999986</v>
      </c>
      <c r="M49" s="1090">
        <f t="shared" si="69"/>
        <v>16.128999999999898</v>
      </c>
      <c r="N49" s="1090">
        <f t="shared" si="69"/>
        <v>3.1739999999999782</v>
      </c>
      <c r="O49" s="1090">
        <f t="shared" si="69"/>
        <v>-16.21400000000007</v>
      </c>
      <c r="P49" s="1089">
        <f t="shared" si="69"/>
        <v>20.101000000000397</v>
      </c>
      <c r="Q49" s="1090">
        <f t="shared" si="69"/>
        <v>-45.248999999999896</v>
      </c>
      <c r="R49" s="1090">
        <f t="shared" si="69"/>
        <v>-60.814000000000007</v>
      </c>
      <c r="S49" s="1090">
        <f t="shared" si="69"/>
        <v>-74.953000000000003</v>
      </c>
      <c r="T49" s="1090">
        <f t="shared" si="69"/>
        <v>-113.85099999999994</v>
      </c>
      <c r="U49" s="1089">
        <f t="shared" si="69"/>
        <v>-294.86699999999985</v>
      </c>
      <c r="V49" s="1090">
        <f t="shared" si="69"/>
        <v>-75.249000000000052</v>
      </c>
      <c r="W49" s="1090">
        <f t="shared" si="69"/>
        <v>-149.51499999999999</v>
      </c>
      <c r="X49" s="1090">
        <f t="shared" si="69"/>
        <v>111.42099999999974</v>
      </c>
      <c r="Y49" s="1090">
        <f t="shared" si="69"/>
        <v>-106.54600000000019</v>
      </c>
      <c r="Z49" s="1089">
        <f t="shared" si="69"/>
        <v>-413.60900000000061</v>
      </c>
      <c r="AA49" s="1090">
        <f t="shared" si="69"/>
        <v>-214.98899999999998</v>
      </c>
      <c r="AB49" s="1090">
        <f t="shared" si="69"/>
        <v>-220.35500000000016</v>
      </c>
      <c r="AC49" s="1090">
        <f t="shared" si="69"/>
        <v>-488.49799999999971</v>
      </c>
      <c r="AD49" s="1090">
        <f t="shared" si="69"/>
        <v>-513.0520000000007</v>
      </c>
      <c r="AE49" s="1089">
        <f t="shared" si="69"/>
        <v>-1436.8939999999993</v>
      </c>
      <c r="AF49" s="1090">
        <f t="shared" si="69"/>
        <v>-567.91200000000015</v>
      </c>
      <c r="AG49" s="1090">
        <f t="shared" si="69"/>
        <v>-520.19500000000085</v>
      </c>
      <c r="AH49" s="1090">
        <f t="shared" si="69"/>
        <v>516.24400000000014</v>
      </c>
      <c r="AI49" s="1090">
        <f t="shared" ref="AI49:AY49" si="70">INDEX(MO_RIS_NI_NONGAAP_Diluted,0,COLUMN())</f>
        <v>344.79600000000045</v>
      </c>
      <c r="AJ49" s="1089">
        <f t="shared" si="70"/>
        <v>-227.06699999999944</v>
      </c>
      <c r="AK49" s="1090">
        <f t="shared" si="70"/>
        <v>-501.35700000000026</v>
      </c>
      <c r="AL49" s="1090">
        <f t="shared" si="70"/>
        <v>-198.47100000000057</v>
      </c>
      <c r="AM49" s="1090">
        <f t="shared" si="70"/>
        <v>342</v>
      </c>
      <c r="AN49" s="1090">
        <f t="shared" si="70"/>
        <v>386.06899999999956</v>
      </c>
      <c r="AO49" s="1089">
        <f t="shared" si="70"/>
        <v>28</v>
      </c>
      <c r="AP49" s="1090">
        <f t="shared" si="70"/>
        <v>227</v>
      </c>
      <c r="AQ49" s="1090">
        <f t="shared" si="70"/>
        <v>451</v>
      </c>
      <c r="AR49" s="1090">
        <f>INDEX(MO_RIS_NI_NONGAAP_Diluted,0,COLUMN())</f>
        <v>843</v>
      </c>
      <c r="AS49" s="1090">
        <f>INDEX(MO_RIS_NI_NONGAAP_Diluted,0,COLUMN())</f>
        <v>903</v>
      </c>
      <c r="AT49" s="1089">
        <f>INDEX(MO_RIS_NI_NONGAAP_Diluted,0,COLUMN())</f>
        <v>2424</v>
      </c>
      <c r="AU49" s="1090">
        <f t="shared" si="70"/>
        <v>1057</v>
      </c>
      <c r="AV49" s="1090">
        <f>INDEX(MO_RIS_NI_NONGAAP_Diluted,0,COLUMN())</f>
        <v>1618</v>
      </c>
      <c r="AW49" s="1091">
        <f>INDEX(MO_RIS_NI_NONGAAP_Diluted,0,COLUMN())</f>
        <v>2094</v>
      </c>
      <c r="AX49" s="1090">
        <f t="shared" si="70"/>
        <v>2116.3436034073657</v>
      </c>
      <c r="AY49" s="1089">
        <f t="shared" si="70"/>
        <v>6885.3436034073648</v>
      </c>
      <c r="AZ49" s="1090">
        <f t="shared" ref="AZ49:BG49" ca="1" si="71">INDEX(MO_RIS_NI_NONGAAP_Diluted,0,COLUMN())</f>
        <v>2736.0676255690123</v>
      </c>
      <c r="BA49" s="1090">
        <f t="shared" ca="1" si="71"/>
        <v>3097.9120988816826</v>
      </c>
      <c r="BB49" s="1090">
        <f t="shared" ca="1" si="71"/>
        <v>3841.4401737867956</v>
      </c>
      <c r="BC49" s="1090">
        <f t="shared" ca="1" si="71"/>
        <v>3764.309427245375</v>
      </c>
      <c r="BD49" s="1089">
        <f t="shared" ca="1" si="71"/>
        <v>13439.729325482866</v>
      </c>
      <c r="BE49" s="1089">
        <f t="shared" ca="1" si="71"/>
        <v>16267.344831355669</v>
      </c>
      <c r="BF49" s="1089">
        <f t="shared" ca="1" si="71"/>
        <v>19187.669810803425</v>
      </c>
      <c r="BG49" s="1089">
        <f t="shared" ca="1" si="71"/>
        <v>23626.95754195207</v>
      </c>
      <c r="BH49" s="1032"/>
    </row>
    <row r="50" spans="1:60" s="74" customFormat="1" x14ac:dyDescent="0.25">
      <c r="A50" s="339" t="str">
        <f>INDEX(MO_RIS_EPS_WAD_Adj,0,COLUMN())</f>
        <v>Adjusted Earnings Per Share - WAD</v>
      </c>
      <c r="B50" s="341"/>
      <c r="C50" s="130">
        <f t="shared" ref="C50:AH50" si="72">INDEX(MO_RIS_EPS_WAD_Adj,0,COLUMN())</f>
        <v>-1.5146192026360721</v>
      </c>
      <c r="D50" s="130">
        <f t="shared" si="72"/>
        <v>-0.5053402615884105</v>
      </c>
      <c r="E50" s="130">
        <f t="shared" si="72"/>
        <v>-0.44276165715367216</v>
      </c>
      <c r="F50" s="130">
        <f t="shared" si="72"/>
        <v>-0.64129894083782801</v>
      </c>
      <c r="G50" s="137">
        <f t="shared" si="72"/>
        <v>2.482430894702288E-2</v>
      </c>
      <c r="H50" s="137">
        <f t="shared" si="72"/>
        <v>4.0279533803820607E-2</v>
      </c>
      <c r="I50" s="137">
        <f t="shared" si="72"/>
        <v>2.3240551005972384E-2</v>
      </c>
      <c r="J50" s="137">
        <f t="shared" si="72"/>
        <v>6.6655054287870941E-2</v>
      </c>
      <c r="K50" s="130">
        <f t="shared" si="72"/>
        <v>0.15509562248214118</v>
      </c>
      <c r="L50" s="137">
        <f t="shared" si="72"/>
        <v>2.426883277112556E-2</v>
      </c>
      <c r="M50" s="137">
        <f t="shared" si="72"/>
        <v>2.2886454578993527E-2</v>
      </c>
      <c r="N50" s="137">
        <f t="shared" si="72"/>
        <v>4.4470286590961314E-3</v>
      </c>
      <c r="O50" s="137">
        <f t="shared" si="72"/>
        <v>-2.5839661505852839E-2</v>
      </c>
      <c r="P50" s="130">
        <f t="shared" si="72"/>
        <v>2.8267274171887971E-2</v>
      </c>
      <c r="Q50" s="137">
        <f t="shared" si="72"/>
        <v>-7.1854033839630793E-2</v>
      </c>
      <c r="R50" s="137">
        <f t="shared" si="72"/>
        <v>-9.6005363696249138E-2</v>
      </c>
      <c r="S50" s="137">
        <f t="shared" si="72"/>
        <v>-0.11620079686216146</v>
      </c>
      <c r="T50" s="137">
        <f t="shared" si="72"/>
        <v>-0.17368573607932866</v>
      </c>
      <c r="U50" s="130">
        <f t="shared" si="72"/>
        <v>-0.46000374409135558</v>
      </c>
      <c r="V50" s="137">
        <f t="shared" si="72"/>
        <v>-0.11343272332599727</v>
      </c>
      <c r="W50" s="137">
        <f t="shared" si="72"/>
        <v>-0.21361879656815469</v>
      </c>
      <c r="X50" s="137">
        <f t="shared" si="72"/>
        <v>0.14956742353564945</v>
      </c>
      <c r="Y50" s="137">
        <f t="shared" si="72"/>
        <v>-0.1374574259469504</v>
      </c>
      <c r="Z50" s="130">
        <f t="shared" si="72"/>
        <v>-0.57361245943472194</v>
      </c>
      <c r="AA50" s="137">
        <f t="shared" si="72"/>
        <v>-0.26520733489998705</v>
      </c>
      <c r="AB50" s="137">
        <f t="shared" si="72"/>
        <v>-0.26675423092753575</v>
      </c>
      <c r="AC50" s="137">
        <f t="shared" si="72"/>
        <v>-0.58399942615993361</v>
      </c>
      <c r="AD50" s="137">
        <f t="shared" si="72"/>
        <v>-0.60963675035944809</v>
      </c>
      <c r="AE50" s="130">
        <f t="shared" si="72"/>
        <v>-1.7337250690766046</v>
      </c>
      <c r="AF50" s="137">
        <f t="shared" si="72"/>
        <v>-0.67150509027703897</v>
      </c>
      <c r="AG50" s="137">
        <f t="shared" si="72"/>
        <v>-0.61200491773384325</v>
      </c>
      <c r="AH50" s="137">
        <f t="shared" si="72"/>
        <v>0.57941143460010336</v>
      </c>
      <c r="AI50" s="137">
        <f t="shared" ref="AI50:AY50" si="73">INDEX(MO_RIS_EPS_WAD_Adj,0,COLUMN())</f>
        <v>0.38519097784679368</v>
      </c>
      <c r="AJ50" s="130">
        <f t="shared" si="73"/>
        <v>-0.26631520304940559</v>
      </c>
      <c r="AK50" s="137">
        <f t="shared" si="73"/>
        <v>-0.5796403239512341</v>
      </c>
      <c r="AL50" s="137">
        <f t="shared" si="73"/>
        <v>-0.2247002615281857</v>
      </c>
      <c r="AM50" s="137">
        <f t="shared" si="73"/>
        <v>0.37173913043478263</v>
      </c>
      <c r="AN50" s="137">
        <f t="shared" si="73"/>
        <v>0.41290802139037386</v>
      </c>
      <c r="AO50" s="130">
        <f t="shared" si="73"/>
        <v>3.1638418079096044E-2</v>
      </c>
      <c r="AP50" s="137">
        <f t="shared" si="73"/>
        <v>0.22814070351758794</v>
      </c>
      <c r="AQ50" s="137">
        <f t="shared" si="73"/>
        <v>0.43574879227053143</v>
      </c>
      <c r="AR50" s="137">
        <f>INDEX(MO_RIS_EPS_WAD_Adj,0,COLUMN())</f>
        <v>0.76289592760180991</v>
      </c>
      <c r="AS50" s="137">
        <f>INDEX(MO_RIS_EPS_WAD_Adj,0,COLUMN())</f>
        <v>0.80338078291814952</v>
      </c>
      <c r="AT50" s="130">
        <f>INDEX(MO_RIS_EPS_WAD_Adj,0,COLUMN())</f>
        <v>2.2382271468144044</v>
      </c>
      <c r="AU50" s="137">
        <f t="shared" si="73"/>
        <v>0.9329214474845543</v>
      </c>
      <c r="AV50" s="137">
        <f>INDEX(MO_RIS_EPS_WAD_Adj,0,COLUMN())</f>
        <v>1.4459338695263628</v>
      </c>
      <c r="AW50" s="763">
        <f>INDEX(MO_RIS_EPS_WAD_Adj,0,COLUMN())</f>
        <v>1.8646482635796973</v>
      </c>
      <c r="AX50" s="137">
        <f t="shared" ca="1" si="73"/>
        <v>1.8845446156788652</v>
      </c>
      <c r="AY50" s="130">
        <f t="shared" ca="1" si="73"/>
        <v>6.1230267704823165</v>
      </c>
      <c r="AZ50" s="137">
        <f t="shared" ref="AZ50:BG50" ca="1" si="74">INDEX(MO_RIS_EPS_WAD_Adj,0,COLUMN())</f>
        <v>2.4363914742377668</v>
      </c>
      <c r="BA50" s="137">
        <f t="shared" ca="1" si="74"/>
        <v>2.7586038280335554</v>
      </c>
      <c r="BB50" s="137">
        <f t="shared" ca="1" si="74"/>
        <v>3.4206947228733711</v>
      </c>
      <c r="BC50" s="137">
        <f t="shared" ca="1" si="74"/>
        <v>3.3520119565853741</v>
      </c>
      <c r="BD50" s="130">
        <f t="shared" ca="1" si="74"/>
        <v>11.967701981730068</v>
      </c>
      <c r="BE50" s="130">
        <f t="shared" ca="1" si="74"/>
        <v>14.485614275472546</v>
      </c>
      <c r="BF50" s="130">
        <f t="shared" ca="1" si="74"/>
        <v>17.08608175494517</v>
      </c>
      <c r="BG50" s="130">
        <f t="shared" ca="1" si="74"/>
        <v>21.039142958105138</v>
      </c>
      <c r="BH50" s="137"/>
    </row>
    <row r="51" spans="1:60" x14ac:dyDescent="0.25">
      <c r="A51" s="299"/>
      <c r="B51" s="333"/>
      <c r="C51" s="138"/>
      <c r="D51" s="138"/>
      <c r="E51" s="138"/>
      <c r="F51" s="138"/>
      <c r="G51" s="139"/>
      <c r="H51" s="139"/>
      <c r="I51" s="139"/>
      <c r="J51" s="139"/>
      <c r="K51" s="138"/>
      <c r="L51" s="139"/>
      <c r="M51" s="139"/>
      <c r="N51" s="139"/>
      <c r="O51" s="139"/>
      <c r="P51" s="138"/>
      <c r="Q51" s="139"/>
      <c r="R51" s="139"/>
      <c r="S51" s="139"/>
      <c r="T51" s="139"/>
      <c r="U51" s="138"/>
      <c r="V51" s="139"/>
      <c r="W51" s="139"/>
      <c r="X51" s="139"/>
      <c r="Y51" s="140"/>
      <c r="Z51" s="141"/>
      <c r="AA51" s="139"/>
      <c r="AB51" s="139"/>
      <c r="AC51" s="139"/>
      <c r="AD51" s="140"/>
      <c r="AE51" s="141"/>
      <c r="AF51" s="139"/>
      <c r="AG51" s="139"/>
      <c r="AH51" s="139"/>
      <c r="AI51" s="140"/>
      <c r="AJ51" s="141"/>
      <c r="AK51" s="139"/>
      <c r="AL51" s="139"/>
      <c r="AM51" s="139"/>
      <c r="AN51" s="140"/>
      <c r="AO51" s="141"/>
      <c r="AP51" s="139"/>
      <c r="AQ51" s="139"/>
      <c r="AR51" s="139"/>
      <c r="AS51" s="140"/>
      <c r="AT51" s="141"/>
      <c r="AU51" s="139"/>
      <c r="AV51" s="139"/>
      <c r="AW51" s="765"/>
      <c r="AX51" s="140"/>
      <c r="AY51" s="141"/>
      <c r="AZ51" s="139"/>
      <c r="BA51" s="139"/>
      <c r="BB51" s="139"/>
      <c r="BC51" s="140"/>
      <c r="BD51" s="141"/>
      <c r="BE51" s="141"/>
      <c r="BF51" s="141"/>
      <c r="BG51" s="141"/>
      <c r="BH51" s="299"/>
    </row>
    <row r="52" spans="1:60" x14ac:dyDescent="0.25">
      <c r="A52" s="199" t="s">
        <v>76</v>
      </c>
      <c r="B52" s="1033"/>
      <c r="C52" s="1092"/>
      <c r="D52" s="1092"/>
      <c r="E52" s="1092"/>
      <c r="F52" s="1092"/>
      <c r="G52" s="1092"/>
      <c r="H52" s="1092"/>
      <c r="I52" s="1092"/>
      <c r="J52" s="1092"/>
      <c r="K52" s="1092"/>
      <c r="L52" s="1092"/>
      <c r="M52" s="1092"/>
      <c r="N52" s="1092"/>
      <c r="O52" s="1092"/>
      <c r="P52" s="1092"/>
      <c r="Q52" s="1092"/>
      <c r="R52" s="1092"/>
      <c r="S52" s="1092"/>
      <c r="T52" s="1092"/>
      <c r="U52" s="1092"/>
      <c r="V52" s="1092"/>
      <c r="W52" s="1092"/>
      <c r="X52" s="1092"/>
      <c r="Y52" s="1092"/>
      <c r="Z52" s="1092"/>
      <c r="AA52" s="1092"/>
      <c r="AB52" s="1092"/>
      <c r="AC52" s="1092"/>
      <c r="AD52" s="1092"/>
      <c r="AE52" s="1092"/>
      <c r="AF52" s="1092"/>
      <c r="AG52" s="1092"/>
      <c r="AH52" s="1092"/>
      <c r="AI52" s="1092"/>
      <c r="AJ52" s="1092"/>
      <c r="AK52" s="1092"/>
      <c r="AL52" s="1092"/>
      <c r="AM52" s="1092"/>
      <c r="AN52" s="1092"/>
      <c r="AO52" s="1092"/>
      <c r="AP52" s="1092"/>
      <c r="AQ52" s="1092"/>
      <c r="AR52" s="1092"/>
      <c r="AS52" s="1092"/>
      <c r="AT52" s="1092"/>
      <c r="AU52" s="1092"/>
      <c r="AV52" s="1092"/>
      <c r="AW52" s="1093"/>
      <c r="AX52" s="1092"/>
      <c r="AY52" s="1092"/>
      <c r="AZ52" s="1092"/>
      <c r="BA52" s="1092"/>
      <c r="BB52" s="1092"/>
      <c r="BC52" s="1092"/>
      <c r="BD52" s="1092"/>
      <c r="BE52" s="1092"/>
      <c r="BF52" s="1092"/>
      <c r="BG52" s="1092"/>
      <c r="BH52" s="1030"/>
    </row>
    <row r="53" spans="1:60" s="77" customFormat="1" ht="15" customHeight="1" x14ac:dyDescent="0.25">
      <c r="A53" s="332" t="str">
        <f>INDEX(MO_MA_COGS,0,COLUMN())</f>
        <v>COGS Margin, %</v>
      </c>
      <c r="B53" s="333"/>
      <c r="C53" s="131">
        <f t="shared" ref="C53:AH53" si="75">INDEX(SP_GF_COGS,0,COLUMN())/INDEX(SP_GF_Rev,0,COLUMN())</f>
        <v>0.91482272227830241</v>
      </c>
      <c r="D53" s="131">
        <f t="shared" si="75"/>
        <v>0.73676591516480505</v>
      </c>
      <c r="E53" s="131">
        <f t="shared" si="75"/>
        <v>0.69842148040070107</v>
      </c>
      <c r="F53" s="131">
        <f t="shared" si="75"/>
        <v>0.92724364558530303</v>
      </c>
      <c r="G53" s="132">
        <f t="shared" si="75"/>
        <v>0.82854864433811792</v>
      </c>
      <c r="H53" s="132">
        <f t="shared" si="75"/>
        <v>0.75197895043429541</v>
      </c>
      <c r="I53" s="132">
        <f t="shared" si="75"/>
        <v>0.76151859528081867</v>
      </c>
      <c r="J53" s="132">
        <f t="shared" si="75"/>
        <v>0.74547112491649303</v>
      </c>
      <c r="K53" s="131">
        <f t="shared" si="75"/>
        <v>0.77339810955671129</v>
      </c>
      <c r="L53" s="132">
        <f t="shared" si="75"/>
        <v>0.75001208620850812</v>
      </c>
      <c r="M53" s="132">
        <f t="shared" si="75"/>
        <v>0.72314905199070911</v>
      </c>
      <c r="N53" s="132">
        <f t="shared" si="75"/>
        <v>0.70433221727063977</v>
      </c>
      <c r="O53" s="132">
        <f t="shared" si="75"/>
        <v>0.72644750857409268</v>
      </c>
      <c r="P53" s="131">
        <f t="shared" si="75"/>
        <v>0.72433619021772433</v>
      </c>
      <c r="Q53" s="132">
        <f t="shared" si="75"/>
        <v>0.72329127122611392</v>
      </c>
      <c r="R53" s="132">
        <f t="shared" si="75"/>
        <v>0.77657030124317261</v>
      </c>
      <c r="S53" s="132">
        <f t="shared" si="75"/>
        <v>0.75288352019504923</v>
      </c>
      <c r="T53" s="132">
        <f t="shared" si="75"/>
        <v>0.82002009255751906</v>
      </c>
      <c r="U53" s="131">
        <f t="shared" si="75"/>
        <v>0.77175054528827669</v>
      </c>
      <c r="V53" s="132">
        <f t="shared" si="75"/>
        <v>0.77989761544416625</v>
      </c>
      <c r="W53" s="132">
        <f t="shared" si="75"/>
        <v>0.78364384098795525</v>
      </c>
      <c r="X53" s="132">
        <f t="shared" si="75"/>
        <v>0.72297031546669133</v>
      </c>
      <c r="Y53" s="132">
        <f t="shared" si="75"/>
        <v>0.80947557833190575</v>
      </c>
      <c r="Z53" s="131">
        <f t="shared" si="75"/>
        <v>0.77153902240700611</v>
      </c>
      <c r="AA53" s="132">
        <f t="shared" si="75"/>
        <v>0.75227035868069592</v>
      </c>
      <c r="AB53" s="132">
        <f t="shared" si="75"/>
        <v>0.76103194880047265</v>
      </c>
      <c r="AC53" s="132">
        <f t="shared" si="75"/>
        <v>0.84951795421612053</v>
      </c>
      <c r="AD53" s="132">
        <f t="shared" si="75"/>
        <v>0.86655937552174445</v>
      </c>
      <c r="AE53" s="131">
        <f t="shared" si="75"/>
        <v>0.81099293623957158</v>
      </c>
      <c r="AF53" s="132">
        <f t="shared" si="75"/>
        <v>0.86607235318742848</v>
      </c>
      <c r="AG53" s="132">
        <f t="shared" si="75"/>
        <v>0.84535375394373813</v>
      </c>
      <c r="AH53" s="132">
        <f t="shared" si="75"/>
        <v>0.77673317837006639</v>
      </c>
      <c r="AI53" s="132">
        <f t="shared" ref="AI53:AY53" si="76">INDEX(SP_GF_COGS,0,COLUMN())/INDEX(SP_GF_Rev,0,COLUMN())</f>
        <v>0.80031478549373891</v>
      </c>
      <c r="AJ53" s="131">
        <f t="shared" si="76"/>
        <v>0.8116597304502231</v>
      </c>
      <c r="AK53" s="132">
        <f t="shared" si="76"/>
        <v>0.87542717502549838</v>
      </c>
      <c r="AL53" s="132">
        <f t="shared" si="76"/>
        <v>0.85494598464551586</v>
      </c>
      <c r="AM53" s="132">
        <f t="shared" si="76"/>
        <v>0.81104236078058067</v>
      </c>
      <c r="AN53" s="132">
        <f t="shared" si="76"/>
        <v>0.81158757072858922</v>
      </c>
      <c r="AO53" s="131">
        <f t="shared" si="76"/>
        <v>0.83444543901049717</v>
      </c>
      <c r="AP53" s="132">
        <f t="shared" si="76"/>
        <v>0.79381787802840431</v>
      </c>
      <c r="AQ53" s="132">
        <f t="shared" si="76"/>
        <v>0.79009277667329358</v>
      </c>
      <c r="AR53" s="132">
        <f>INDEX(SP_GF_COGS,0,COLUMN())/INDEX(SP_GF_Rev,0,COLUMN())</f>
        <v>0.76479306806521496</v>
      </c>
      <c r="AS53" s="132">
        <f>INDEX(SP_GF_COGS,0,COLUMN())/INDEX(SP_GF_Rev,0,COLUMN())</f>
        <v>0.80770662695457929</v>
      </c>
      <c r="AT53" s="131">
        <f>INDEX(SP_GF_COGS,0,COLUMN())/INDEX(SP_GF_Rev,0,COLUMN())</f>
        <v>0.7897640791476408</v>
      </c>
      <c r="AU53" s="132">
        <f t="shared" si="76"/>
        <v>0.78679372413129267</v>
      </c>
      <c r="AV53" s="132">
        <f>INDEX(SP_GF_COGS,0,COLUMN())/INDEX(SP_GF_Rev,0,COLUMN())</f>
        <v>0.75882254557618334</v>
      </c>
      <c r="AW53" s="759">
        <f>INDEX(SP_GF_COGS,0,COLUMN())/INDEX(SP_GF_Rev,0,COLUMN())</f>
        <v>0.73395362360979866</v>
      </c>
      <c r="AX53" s="132">
        <f t="shared" si="76"/>
        <v>0.72427888688334596</v>
      </c>
      <c r="AY53" s="131">
        <f t="shared" si="76"/>
        <v>0.7468367405820201</v>
      </c>
      <c r="AZ53" s="132">
        <f t="shared" ref="AZ53:BG53" si="77">INDEX(SP_GF_COGS,0,COLUMN())/INDEX(SP_GF_Rev,0,COLUMN())</f>
        <v>0.7215976030160357</v>
      </c>
      <c r="BA53" s="132">
        <f t="shared" si="77"/>
        <v>0.72604894327385094</v>
      </c>
      <c r="BB53" s="132">
        <f t="shared" si="77"/>
        <v>0.71806941016203463</v>
      </c>
      <c r="BC53" s="132">
        <f t="shared" si="77"/>
        <v>0.72593431655098295</v>
      </c>
      <c r="BD53" s="131">
        <f t="shared" si="77"/>
        <v>0.72298281962361588</v>
      </c>
      <c r="BE53" s="141">
        <f t="shared" si="77"/>
        <v>0.72367631563291435</v>
      </c>
      <c r="BF53" s="141">
        <f t="shared" si="77"/>
        <v>0.72477301589604359</v>
      </c>
      <c r="BG53" s="141">
        <f t="shared" si="77"/>
        <v>0.72686343127034259</v>
      </c>
      <c r="BH53" s="299"/>
    </row>
    <row r="54" spans="1:60" s="77" customFormat="1" ht="15" customHeight="1" x14ac:dyDescent="0.25">
      <c r="A54" s="332" t="str">
        <f>INDEX(MO_MA_SGA,0,COLUMN())</f>
        <v>SG&amp;A Margin, %</v>
      </c>
      <c r="B54" s="333"/>
      <c r="C54" s="131">
        <f t="shared" ref="C54:AH54" si="78">INDEX(SP_GF_SGA,0,COLUMN())/INDEX(SP_GF_Rev,0,COLUMN())</f>
        <v>0.37653091305396497</v>
      </c>
      <c r="D54" s="131">
        <f t="shared" si="78"/>
        <v>0.72443123415336119</v>
      </c>
      <c r="E54" s="131">
        <f t="shared" si="78"/>
        <v>0.50969927830710626</v>
      </c>
      <c r="F54" s="131">
        <f t="shared" si="78"/>
        <v>0.36387130495383008</v>
      </c>
      <c r="G54" s="132">
        <f t="shared" si="78"/>
        <v>8.3740957507404873E-2</v>
      </c>
      <c r="H54" s="132">
        <f t="shared" si="78"/>
        <v>0.14800599300486994</v>
      </c>
      <c r="I54" s="132">
        <f t="shared" si="78"/>
        <v>0.17867558757934465</v>
      </c>
      <c r="J54" s="132">
        <f t="shared" si="78"/>
        <v>0.16496564637958194</v>
      </c>
      <c r="K54" s="131">
        <f t="shared" si="78"/>
        <v>0.14182744837834294</v>
      </c>
      <c r="L54" s="132">
        <f t="shared" si="78"/>
        <v>0.18943278617724504</v>
      </c>
      <c r="M54" s="132">
        <f t="shared" si="78"/>
        <v>0.17421352338145629</v>
      </c>
      <c r="N54" s="132">
        <f t="shared" si="78"/>
        <v>0.18209235927513842</v>
      </c>
      <c r="O54" s="132">
        <f t="shared" si="78"/>
        <v>0.20589320563919716</v>
      </c>
      <c r="P54" s="131">
        <f t="shared" si="78"/>
        <v>0.18874071554260999</v>
      </c>
      <c r="Q54" s="132">
        <f t="shared" si="78"/>
        <v>0.2078616419117334</v>
      </c>
      <c r="R54" s="132">
        <f t="shared" si="78"/>
        <v>0.21136237978755487</v>
      </c>
      <c r="S54" s="132">
        <f t="shared" si="78"/>
        <v>0.25231615657314505</v>
      </c>
      <c r="T54" s="132">
        <f t="shared" si="78"/>
        <v>0.23769660238146212</v>
      </c>
      <c r="U54" s="131">
        <f t="shared" si="78"/>
        <v>0.22793531923307442</v>
      </c>
      <c r="V54" s="132">
        <f t="shared" si="78"/>
        <v>0.27741646382714585</v>
      </c>
      <c r="W54" s="132">
        <f t="shared" si="78"/>
        <v>0.2528722056476409</v>
      </c>
      <c r="X54" s="132">
        <f t="shared" si="78"/>
        <v>0.1465392118814707</v>
      </c>
      <c r="Y54" s="132">
        <f t="shared" si="78"/>
        <v>0.19960159868267568</v>
      </c>
      <c r="Z54" s="131">
        <f t="shared" si="78"/>
        <v>0.20459457050238483</v>
      </c>
      <c r="AA54" s="132">
        <f t="shared" si="78"/>
        <v>0.22381104266264137</v>
      </c>
      <c r="AB54" s="132">
        <f t="shared" si="78"/>
        <v>0.19277505353000493</v>
      </c>
      <c r="AC54" s="132">
        <f t="shared" si="78"/>
        <v>0.2187836196570816</v>
      </c>
      <c r="AD54" s="132">
        <f t="shared" si="78"/>
        <v>0.20749341062675</v>
      </c>
      <c r="AE54" s="131">
        <f t="shared" si="78"/>
        <v>0.21060910295659802</v>
      </c>
      <c r="AF54" s="132">
        <f t="shared" si="78"/>
        <v>0.20136525079127224</v>
      </c>
      <c r="AG54" s="132">
        <f t="shared" si="78"/>
        <v>0.18758512439686767</v>
      </c>
      <c r="AH54" s="132">
        <f t="shared" si="78"/>
        <v>0.10695073700844306</v>
      </c>
      <c r="AI54" s="132">
        <f t="shared" ref="AI54:AY54" si="79">INDEX(SP_GF_SGA,0,COLUMN())/INDEX(SP_GF_Rev,0,COLUMN())</f>
        <v>9.2369738576916618E-2</v>
      </c>
      <c r="AJ54" s="131">
        <f t="shared" si="79"/>
        <v>0.13207472177319626</v>
      </c>
      <c r="AK54" s="132">
        <f t="shared" si="79"/>
        <v>0.1550004580020892</v>
      </c>
      <c r="AL54" s="132">
        <f t="shared" si="79"/>
        <v>0.10193606728910262</v>
      </c>
      <c r="AM54" s="132">
        <f t="shared" si="79"/>
        <v>9.4558146914167862E-2</v>
      </c>
      <c r="AN54" s="132">
        <f t="shared" si="79"/>
        <v>9.4640201737302712E-2</v>
      </c>
      <c r="AO54" s="131">
        <f t="shared" si="79"/>
        <v>0.10765725445520384</v>
      </c>
      <c r="AP54" s="132">
        <f t="shared" si="79"/>
        <v>0.10476190476190476</v>
      </c>
      <c r="AQ54" s="132">
        <f t="shared" si="79"/>
        <v>0.10950960901259112</v>
      </c>
      <c r="AR54" s="132">
        <f>INDEX(SP_GF_SGA,0,COLUMN())/INDEX(SP_GF_Rev,0,COLUMN())</f>
        <v>0.10124273172956333</v>
      </c>
      <c r="AS54" s="132">
        <f>INDEX(SP_GF_SGA,0,COLUMN())/INDEX(SP_GF_Rev,0,COLUMN())</f>
        <v>9.0189873417721514E-2</v>
      </c>
      <c r="AT54" s="131">
        <f>INDEX(SP_GF_SGA,0,COLUMN())/INDEX(SP_GF_Rev,0,COLUMN())</f>
        <v>9.9727295788939629E-2</v>
      </c>
      <c r="AU54" s="132">
        <f t="shared" si="79"/>
        <v>0.10164597170083742</v>
      </c>
      <c r="AV54" s="132">
        <f>INDEX(SP_GF_SGA,0,COLUMN())/INDEX(SP_GF_Rev,0,COLUMN())</f>
        <v>8.1368121759491555E-2</v>
      </c>
      <c r="AW54" s="759">
        <f>INDEX(SP_GF_SGA,0,COLUMN())/INDEX(SP_GF_Rev,0,COLUMN())</f>
        <v>7.2254125172639377E-2</v>
      </c>
      <c r="AX54" s="132">
        <f t="shared" si="79"/>
        <v>8.5189873417721509E-2</v>
      </c>
      <c r="AY54" s="131">
        <f t="shared" si="79"/>
        <v>8.4195681782130813E-2</v>
      </c>
      <c r="AZ54" s="132">
        <f t="shared" ref="AZ54:BG54" si="80">INDEX(SP_GF_SGA,0,COLUMN())/INDEX(SP_GF_Rev,0,COLUMN())</f>
        <v>8.1645971700837414E-2</v>
      </c>
      <c r="BA54" s="132">
        <f t="shared" si="80"/>
        <v>8.3368121759491556E-2</v>
      </c>
      <c r="BB54" s="132">
        <f t="shared" si="80"/>
        <v>8.2254125172639372E-2</v>
      </c>
      <c r="BC54" s="132">
        <f t="shared" si="80"/>
        <v>8.7189873417721511E-2</v>
      </c>
      <c r="BD54" s="131">
        <f t="shared" si="80"/>
        <v>8.3907483915351008E-2</v>
      </c>
      <c r="BE54" s="141">
        <f t="shared" si="80"/>
        <v>8.2907483915351007E-2</v>
      </c>
      <c r="BF54" s="141">
        <f t="shared" si="80"/>
        <v>8.1907483915351006E-2</v>
      </c>
      <c r="BG54" s="141">
        <f t="shared" si="80"/>
        <v>8.0907483915351006E-2</v>
      </c>
      <c r="BH54" s="299"/>
    </row>
    <row r="55" spans="1:60" s="77" customFormat="1" ht="15" customHeight="1" x14ac:dyDescent="0.25">
      <c r="A55" s="492" t="str">
        <f>INDEX(MO_MA_RD,0,COLUMN())</f>
        <v>R&amp;D Margin, %</v>
      </c>
      <c r="B55" s="493"/>
      <c r="C55" s="494">
        <f t="shared" ref="C55:AH55" si="81">INDEX(SP_GF_RD,0,COLUMN())/INDEX(SP_GF_Rev,0,COLUMN())</f>
        <v>0.17224837640584942</v>
      </c>
      <c r="D55" s="494">
        <f t="shared" si="81"/>
        <v>0.79658055231960523</v>
      </c>
      <c r="E55" s="494">
        <f t="shared" si="81"/>
        <v>1.0232028671869644</v>
      </c>
      <c r="F55" s="494">
        <f t="shared" si="81"/>
        <v>0.66297404030431495</v>
      </c>
      <c r="G55" s="462">
        <f t="shared" si="81"/>
        <v>9.7650019936204147E-2</v>
      </c>
      <c r="H55" s="462">
        <f t="shared" si="81"/>
        <v>0.12912111645632732</v>
      </c>
      <c r="I55" s="462">
        <f t="shared" si="81"/>
        <v>0.1306399039286327</v>
      </c>
      <c r="J55" s="462">
        <f t="shared" si="81"/>
        <v>0.11126769491839492</v>
      </c>
      <c r="K55" s="494">
        <f t="shared" si="81"/>
        <v>0.11521055914687688</v>
      </c>
      <c r="L55" s="462">
        <f t="shared" si="81"/>
        <v>0.13140770487734915</v>
      </c>
      <c r="M55" s="462">
        <f t="shared" si="81"/>
        <v>0.14001058037379654</v>
      </c>
      <c r="N55" s="462">
        <f t="shared" si="81"/>
        <v>0.15951204737240021</v>
      </c>
      <c r="O55" s="462">
        <f t="shared" si="81"/>
        <v>0.14588762372460046</v>
      </c>
      <c r="P55" s="494">
        <f t="shared" si="81"/>
        <v>0.14529339448141482</v>
      </c>
      <c r="Q55" s="462">
        <f t="shared" si="81"/>
        <v>0.17784610801378897</v>
      </c>
      <c r="R55" s="462">
        <f t="shared" si="81"/>
        <v>0.19027912743356901</v>
      </c>
      <c r="S55" s="462">
        <f t="shared" si="81"/>
        <v>0.19085514454162036</v>
      </c>
      <c r="T55" s="462">
        <f t="shared" si="81"/>
        <v>0.15665854180734201</v>
      </c>
      <c r="U55" s="494">
        <f t="shared" si="81"/>
        <v>0.17743340686229075</v>
      </c>
      <c r="V55" s="462">
        <f t="shared" si="81"/>
        <v>0.15908837293644207</v>
      </c>
      <c r="W55" s="462">
        <f t="shared" si="81"/>
        <v>0.15091451531751149</v>
      </c>
      <c r="X55" s="462">
        <f t="shared" si="81"/>
        <v>9.3238184574206115E-2</v>
      </c>
      <c r="Y55" s="462">
        <f t="shared" si="81"/>
        <v>0.10765852341143932</v>
      </c>
      <c r="Z55" s="494">
        <f t="shared" si="81"/>
        <v>0.11919889510654944</v>
      </c>
      <c r="AA55" s="462">
        <f t="shared" si="81"/>
        <v>0.11943907694704166</v>
      </c>
      <c r="AB55" s="462">
        <f t="shared" si="81"/>
        <v>0.13255653137756282</v>
      </c>
      <c r="AC55" s="462">
        <f t="shared" si="81"/>
        <v>0.11110824461624799</v>
      </c>
      <c r="AD55" s="462">
        <f t="shared" si="81"/>
        <v>0.10784980091227887</v>
      </c>
      <c r="AE55" s="494">
        <f t="shared" si="81"/>
        <v>0.11719552527304984</v>
      </c>
      <c r="AF55" s="462">
        <f t="shared" si="81"/>
        <v>0.10769223096670894</v>
      </c>
      <c r="AG55" s="462">
        <f t="shared" si="81"/>
        <v>9.6478439150563797E-2</v>
      </c>
      <c r="AH55" s="462">
        <f t="shared" si="81"/>
        <v>5.1410722065033283E-2</v>
      </c>
      <c r="AI55" s="462">
        <f t="shared" ref="AI55:AY55" si="82">INDEX(SP_GF_RD,0,COLUMN())/INDEX(SP_GF_Rev,0,COLUMN())</f>
        <v>4.9308505698896145E-2</v>
      </c>
      <c r="AJ55" s="494">
        <f t="shared" si="82"/>
        <v>6.8046771514152837E-2</v>
      </c>
      <c r="AK55" s="462">
        <f t="shared" si="82"/>
        <v>7.4904039754581334E-2</v>
      </c>
      <c r="AL55" s="462">
        <f t="shared" si="82"/>
        <v>5.1010161778333264E-2</v>
      </c>
      <c r="AM55" s="462">
        <f t="shared" si="82"/>
        <v>5.2990639378073932E-2</v>
      </c>
      <c r="AN55" s="462">
        <f t="shared" si="82"/>
        <v>4.6713778430251929E-2</v>
      </c>
      <c r="AO55" s="494">
        <f t="shared" si="82"/>
        <v>5.4642363088941333E-2</v>
      </c>
      <c r="AP55" s="462">
        <f t="shared" si="82"/>
        <v>5.4135338345864661E-2</v>
      </c>
      <c r="AQ55" s="462">
        <f t="shared" si="82"/>
        <v>4.6222664015904573E-2</v>
      </c>
      <c r="AR55" s="462">
        <f>INDEX(SP_GF_RD,0,COLUMN())/INDEX(SP_GF_Rev,0,COLUMN())</f>
        <v>4.1728423212860563E-2</v>
      </c>
      <c r="AS55" s="462">
        <f>INDEX(SP_GF_RD,0,COLUMN())/INDEX(SP_GF_Rev,0,COLUMN())</f>
        <v>4.8585256887565154E-2</v>
      </c>
      <c r="AT55" s="494">
        <f>INDEX(SP_GF_RD,0,COLUMN())/INDEX(SP_GF_Rev,0,COLUMN())</f>
        <v>4.7279299847792999E-2</v>
      </c>
      <c r="AU55" s="462">
        <f t="shared" si="82"/>
        <v>6.410626624314178E-2</v>
      </c>
      <c r="AV55" s="462">
        <f>INDEX(SP_GF_RD,0,COLUMN())/INDEX(SP_GF_Rev,0,COLUMN())</f>
        <v>4.8168590065228299E-2</v>
      </c>
      <c r="AW55" s="760">
        <f>INDEX(SP_GF_RD,0,COLUMN())/INDEX(SP_GF_Rev,0,COLUMN())</f>
        <v>4.4413752998473506E-2</v>
      </c>
      <c r="AX55" s="462">
        <f t="shared" si="82"/>
        <v>5.3585256887565151E-2</v>
      </c>
      <c r="AY55" s="494">
        <f t="shared" si="82"/>
        <v>5.204492829760296E-2</v>
      </c>
      <c r="AZ55" s="462">
        <f t="shared" ref="AZ55:BG55" si="83">INDEX(SP_GF_RD,0,COLUMN())/INDEX(SP_GF_Rev,0,COLUMN())</f>
        <v>4.910626624314178E-2</v>
      </c>
      <c r="BA55" s="462">
        <f t="shared" si="83"/>
        <v>4.7168590065228298E-2</v>
      </c>
      <c r="BB55" s="462">
        <f t="shared" si="83"/>
        <v>4.2413752998473504E-2</v>
      </c>
      <c r="BC55" s="462">
        <f t="shared" si="83"/>
        <v>5.0585256887565148E-2</v>
      </c>
      <c r="BD55" s="494">
        <f t="shared" si="83"/>
        <v>4.7298655766652424E-2</v>
      </c>
      <c r="BE55" s="495">
        <f t="shared" si="83"/>
        <v>4.6298655766652423E-2</v>
      </c>
      <c r="BF55" s="495">
        <f t="shared" si="83"/>
        <v>4.5298655766652422E-2</v>
      </c>
      <c r="BG55" s="495">
        <f t="shared" si="83"/>
        <v>4.4298655766652421E-2</v>
      </c>
      <c r="BH55" s="299"/>
    </row>
    <row r="56" spans="1:60" s="78" customFormat="1" ht="15" customHeight="1" x14ac:dyDescent="0.25">
      <c r="A56" s="342" t="str">
        <f>INDEX(MO_MA_EBIT,0,COLUMN())</f>
        <v>EBIT Margin, %</v>
      </c>
      <c r="B56" s="343"/>
      <c r="C56" s="142">
        <f t="shared" ref="C56:AH56" si="84">INDEX(MO_MA_EBIT,0,COLUMN())</f>
        <v>-0.46360201173811677</v>
      </c>
      <c r="D56" s="142">
        <f t="shared" si="84"/>
        <v>-1.2577777016377716</v>
      </c>
      <c r="E56" s="142">
        <f t="shared" si="84"/>
        <v>-1.2313236258947715</v>
      </c>
      <c r="F56" s="142">
        <f t="shared" si="84"/>
        <v>-0.95408899084344811</v>
      </c>
      <c r="G56" s="143">
        <f t="shared" si="84"/>
        <v>-9.939621781726948E-3</v>
      </c>
      <c r="H56" s="143">
        <f t="shared" si="84"/>
        <v>-2.9106059895492663E-2</v>
      </c>
      <c r="I56" s="143">
        <f t="shared" si="84"/>
        <v>-7.0834086788796005E-2</v>
      </c>
      <c r="J56" s="143">
        <f t="shared" si="84"/>
        <v>-2.1704466214469888E-2</v>
      </c>
      <c r="K56" s="142">
        <f t="shared" si="84"/>
        <v>-3.0436117081931079E-2</v>
      </c>
      <c r="L56" s="143">
        <f t="shared" si="84"/>
        <v>-7.0852577263102276E-2</v>
      </c>
      <c r="M56" s="143">
        <f t="shared" si="84"/>
        <v>-3.7373155745961978E-2</v>
      </c>
      <c r="N56" s="143">
        <f t="shared" si="84"/>
        <v>-4.5936623918178383E-2</v>
      </c>
      <c r="O56" s="143">
        <f t="shared" si="84"/>
        <v>-7.8228337937890316E-2</v>
      </c>
      <c r="P56" s="142">
        <f t="shared" si="84"/>
        <v>-5.8370300241749079E-2</v>
      </c>
      <c r="Q56" s="143">
        <f t="shared" si="84"/>
        <v>-0.10899902115163627</v>
      </c>
      <c r="R56" s="143">
        <f t="shared" si="84"/>
        <v>-0.17821180846429646</v>
      </c>
      <c r="S56" s="143">
        <f t="shared" si="84"/>
        <v>-0.19605482130981475</v>
      </c>
      <c r="T56" s="143">
        <f t="shared" si="84"/>
        <v>-0.21437523674632314</v>
      </c>
      <c r="U56" s="142">
        <f t="shared" si="84"/>
        <v>-0.17711927138364195</v>
      </c>
      <c r="V56" s="143">
        <f t="shared" si="84"/>
        <v>-0.2164024522077542</v>
      </c>
      <c r="W56" s="143">
        <f t="shared" si="84"/>
        <v>-0.18743056195310767</v>
      </c>
      <c r="X56" s="143">
        <f t="shared" si="84"/>
        <v>3.7252288077631805E-2</v>
      </c>
      <c r="Y56" s="143">
        <f t="shared" si="84"/>
        <v>-0.11673570042602076</v>
      </c>
      <c r="Z56" s="142">
        <f t="shared" si="84"/>
        <v>-9.5332488015940367E-2</v>
      </c>
      <c r="AA56" s="143">
        <f t="shared" si="84"/>
        <v>-9.5520478290378921E-2</v>
      </c>
      <c r="AB56" s="143">
        <f t="shared" si="84"/>
        <v>-8.6363533708040452E-2</v>
      </c>
      <c r="AC56" s="143">
        <f t="shared" si="84"/>
        <v>-0.1794098184894502</v>
      </c>
      <c r="AD56" s="143">
        <f t="shared" si="84"/>
        <v>-0.18190258706077334</v>
      </c>
      <c r="AE56" s="142">
        <f t="shared" si="84"/>
        <v>-0.13879756446921951</v>
      </c>
      <c r="AF56" s="143">
        <f t="shared" si="84"/>
        <v>-0.17512983494540968</v>
      </c>
      <c r="AG56" s="143">
        <f t="shared" si="84"/>
        <v>-0.15526140295250351</v>
      </c>
      <c r="AH56" s="143">
        <f t="shared" si="84"/>
        <v>6.1068549045903295E-2</v>
      </c>
      <c r="AI56" s="143">
        <f t="shared" ref="AI56:BG56" si="85">INDEX(MO_MA_EBIT,0,COLUMN())</f>
        <v>5.7229901494255504E-2</v>
      </c>
      <c r="AJ56" s="142">
        <f t="shared" si="85"/>
        <v>-1.8082482358451488E-2</v>
      </c>
      <c r="AK56" s="143">
        <f t="shared" si="85"/>
        <v>-0.11490369625301447</v>
      </c>
      <c r="AL56" s="143">
        <f t="shared" si="85"/>
        <v>-2.6372684212548885E-2</v>
      </c>
      <c r="AM56" s="143">
        <f t="shared" si="85"/>
        <v>4.1408852927177532E-2</v>
      </c>
      <c r="AN56" s="143">
        <f t="shared" si="85"/>
        <v>4.8658696129124816E-2</v>
      </c>
      <c r="AO56" s="142">
        <f t="shared" si="85"/>
        <v>-2.8073887216209618E-3</v>
      </c>
      <c r="AP56" s="143">
        <f t="shared" si="85"/>
        <v>4.7284878863826235E-2</v>
      </c>
      <c r="AQ56" s="143">
        <f t="shared" si="85"/>
        <v>5.4174950298210733E-2</v>
      </c>
      <c r="AR56" s="143">
        <f t="shared" si="85"/>
        <v>9.2235776992361185E-2</v>
      </c>
      <c r="AS56" s="143">
        <f t="shared" si="85"/>
        <v>5.3518242740134031E-2</v>
      </c>
      <c r="AT56" s="142">
        <f t="shared" si="85"/>
        <v>6.3229325215626589E-2</v>
      </c>
      <c r="AU56" s="143">
        <f t="shared" si="85"/>
        <v>5.7175859081721049E-2</v>
      </c>
      <c r="AV56" s="143">
        <f t="shared" si="85"/>
        <v>0.10971734403746446</v>
      </c>
      <c r="AW56" s="766">
        <f t="shared" si="85"/>
        <v>0.14567129461365122</v>
      </c>
      <c r="AX56" s="143">
        <f t="shared" si="85"/>
        <v>0.13694598281136738</v>
      </c>
      <c r="AY56" s="142">
        <f t="shared" si="85"/>
        <v>0.1174320539769889</v>
      </c>
      <c r="AZ56" s="143">
        <f t="shared" si="85"/>
        <v>0.14765015903998505</v>
      </c>
      <c r="BA56" s="143">
        <f t="shared" si="85"/>
        <v>0.14341434490142921</v>
      </c>
      <c r="BB56" s="143">
        <f t="shared" si="85"/>
        <v>0.15726271166685252</v>
      </c>
      <c r="BC56" s="143">
        <f t="shared" si="85"/>
        <v>0.1362905531437304</v>
      </c>
      <c r="BD56" s="142">
        <f t="shared" si="85"/>
        <v>0.14581104069438069</v>
      </c>
      <c r="BE56" s="142">
        <f t="shared" si="85"/>
        <v>0.14711754468508215</v>
      </c>
      <c r="BF56" s="142">
        <f t="shared" si="85"/>
        <v>0.14802084442195304</v>
      </c>
      <c r="BG56" s="142">
        <f t="shared" si="85"/>
        <v>0.14793042904765399</v>
      </c>
      <c r="BH56" s="383"/>
    </row>
    <row r="57" spans="1:60" s="78" customFormat="1" ht="15" customHeight="1" x14ac:dyDescent="0.25">
      <c r="A57" s="342" t="str">
        <f>INDEX(MO_MA_EBIT_Adj,0,COLUMN())</f>
        <v>Adjusted EBIT Margin, % - (No Adjustments)</v>
      </c>
      <c r="B57" s="343"/>
      <c r="C57" s="142">
        <f t="shared" ref="C57:AH57" si="86">INDEX(MO_MA_EBIT_Adj,0,COLUMN())</f>
        <v>-0.46360201173811677</v>
      </c>
      <c r="D57" s="142">
        <f t="shared" si="86"/>
        <v>-1.2577777016377716</v>
      </c>
      <c r="E57" s="142">
        <f t="shared" si="86"/>
        <v>-1.2313236258947715</v>
      </c>
      <c r="F57" s="142">
        <f t="shared" si="86"/>
        <v>-0.95408899084344811</v>
      </c>
      <c r="G57" s="143">
        <f t="shared" si="86"/>
        <v>-9.939621781726948E-3</v>
      </c>
      <c r="H57" s="143">
        <f t="shared" si="86"/>
        <v>-2.9106059895492663E-2</v>
      </c>
      <c r="I57" s="143">
        <f t="shared" si="86"/>
        <v>-7.0834086788796005E-2</v>
      </c>
      <c r="J57" s="143">
        <f t="shared" si="86"/>
        <v>-2.1704466214469888E-2</v>
      </c>
      <c r="K57" s="142">
        <f t="shared" si="86"/>
        <v>-3.0436117081931079E-2</v>
      </c>
      <c r="L57" s="143">
        <f t="shared" si="86"/>
        <v>-7.0852577263102276E-2</v>
      </c>
      <c r="M57" s="143">
        <f t="shared" si="86"/>
        <v>-3.7373155745961978E-2</v>
      </c>
      <c r="N57" s="143">
        <f t="shared" si="86"/>
        <v>-4.5936623918178383E-2</v>
      </c>
      <c r="O57" s="143">
        <f t="shared" si="86"/>
        <v>-7.8228337937890316E-2</v>
      </c>
      <c r="P57" s="142">
        <f t="shared" si="86"/>
        <v>-5.8370300241749079E-2</v>
      </c>
      <c r="Q57" s="143">
        <f t="shared" si="86"/>
        <v>-0.10899902115163627</v>
      </c>
      <c r="R57" s="143">
        <f t="shared" si="86"/>
        <v>-0.17821180846429646</v>
      </c>
      <c r="S57" s="143">
        <f t="shared" si="86"/>
        <v>-0.19605482130981475</v>
      </c>
      <c r="T57" s="143">
        <f t="shared" si="86"/>
        <v>-0.21437523674632314</v>
      </c>
      <c r="U57" s="142">
        <f t="shared" si="86"/>
        <v>-0.17711927138364195</v>
      </c>
      <c r="V57" s="143">
        <f t="shared" si="86"/>
        <v>-0.2164024522077542</v>
      </c>
      <c r="W57" s="143">
        <f t="shared" si="86"/>
        <v>-0.18743056195310767</v>
      </c>
      <c r="X57" s="143">
        <f t="shared" si="86"/>
        <v>3.7252288077631805E-2</v>
      </c>
      <c r="Y57" s="143">
        <f t="shared" si="86"/>
        <v>-0.11673570042602076</v>
      </c>
      <c r="Z57" s="142">
        <f t="shared" si="86"/>
        <v>-9.5332488015940367E-2</v>
      </c>
      <c r="AA57" s="143">
        <f t="shared" si="86"/>
        <v>-9.5520478290378921E-2</v>
      </c>
      <c r="AB57" s="143">
        <f t="shared" si="86"/>
        <v>-8.6363533708040452E-2</v>
      </c>
      <c r="AC57" s="143">
        <f t="shared" si="86"/>
        <v>-0.1794098184894502</v>
      </c>
      <c r="AD57" s="143">
        <f t="shared" si="86"/>
        <v>-0.18190258706077334</v>
      </c>
      <c r="AE57" s="142">
        <f t="shared" si="86"/>
        <v>-0.13879756446921951</v>
      </c>
      <c r="AF57" s="143">
        <f t="shared" si="86"/>
        <v>-0.17512983494540968</v>
      </c>
      <c r="AG57" s="143">
        <f t="shared" si="86"/>
        <v>-0.15526140295250351</v>
      </c>
      <c r="AH57" s="143">
        <f t="shared" si="86"/>
        <v>6.1068549045903295E-2</v>
      </c>
      <c r="AI57" s="143">
        <f t="shared" ref="AI57:BG57" si="87">INDEX(MO_MA_EBIT_Adj,0,COLUMN())</f>
        <v>5.7229901494255504E-2</v>
      </c>
      <c r="AJ57" s="142">
        <f t="shared" si="87"/>
        <v>-1.8082482358451488E-2</v>
      </c>
      <c r="AK57" s="143">
        <f t="shared" si="87"/>
        <v>-0.11490369625301447</v>
      </c>
      <c r="AL57" s="143">
        <f t="shared" si="87"/>
        <v>-2.6372684212548885E-2</v>
      </c>
      <c r="AM57" s="143">
        <f t="shared" si="87"/>
        <v>4.1408852927177532E-2</v>
      </c>
      <c r="AN57" s="143">
        <f t="shared" si="87"/>
        <v>4.8658696129124816E-2</v>
      </c>
      <c r="AO57" s="142">
        <f t="shared" si="87"/>
        <v>-2.8073887216209618E-3</v>
      </c>
      <c r="AP57" s="143">
        <f t="shared" si="87"/>
        <v>4.7284878863826235E-2</v>
      </c>
      <c r="AQ57" s="143">
        <f t="shared" si="87"/>
        <v>5.4174950298210733E-2</v>
      </c>
      <c r="AR57" s="143">
        <f t="shared" si="87"/>
        <v>9.2235776992361185E-2</v>
      </c>
      <c r="AS57" s="143">
        <f t="shared" si="87"/>
        <v>5.3518242740134031E-2</v>
      </c>
      <c r="AT57" s="142">
        <f t="shared" si="87"/>
        <v>6.3229325215626589E-2</v>
      </c>
      <c r="AU57" s="143">
        <f t="shared" si="87"/>
        <v>5.7175859081721049E-2</v>
      </c>
      <c r="AV57" s="143">
        <f t="shared" si="87"/>
        <v>0.10971734403746446</v>
      </c>
      <c r="AW57" s="766">
        <f t="shared" si="87"/>
        <v>0.14567129461365122</v>
      </c>
      <c r="AX57" s="143">
        <f t="shared" si="87"/>
        <v>0.13694598281136738</v>
      </c>
      <c r="AY57" s="142">
        <f t="shared" si="87"/>
        <v>0.1174320539769889</v>
      </c>
      <c r="AZ57" s="143">
        <f t="shared" si="87"/>
        <v>0.14765015903998505</v>
      </c>
      <c r="BA57" s="143">
        <f t="shared" si="87"/>
        <v>0.14341434490142921</v>
      </c>
      <c r="BB57" s="143">
        <f t="shared" si="87"/>
        <v>0.15726271166685252</v>
      </c>
      <c r="BC57" s="143">
        <f t="shared" si="87"/>
        <v>0.1362905531437304</v>
      </c>
      <c r="BD57" s="142">
        <f t="shared" si="87"/>
        <v>0.14581104069438069</v>
      </c>
      <c r="BE57" s="142">
        <f t="shared" si="87"/>
        <v>0.14711754468508215</v>
      </c>
      <c r="BF57" s="142">
        <f t="shared" si="87"/>
        <v>0.14802084442195304</v>
      </c>
      <c r="BG57" s="142">
        <f t="shared" si="87"/>
        <v>0.14793042904765399</v>
      </c>
      <c r="BH57" s="383"/>
    </row>
    <row r="58" spans="1:60" s="78" customFormat="1" ht="15" customHeight="1" x14ac:dyDescent="0.25">
      <c r="A58" s="342" t="str">
        <f>INDEX(MO_MA_EBITDA,0,COLUMN())</f>
        <v>EBITDA Margin, %</v>
      </c>
      <c r="B58" s="343"/>
      <c r="C58" s="142">
        <f t="shared" ref="C58:AH58" si="88">INDEX(MO_MA_EBITDA,0,COLUMN())</f>
        <v>-0.38879608372117958</v>
      </c>
      <c r="D58" s="142">
        <f t="shared" si="88"/>
        <v>-0.98556671006647023</v>
      </c>
      <c r="E58" s="142">
        <f t="shared" si="88"/>
        <v>-1.0044457065637817</v>
      </c>
      <c r="F58" s="142">
        <f t="shared" si="88"/>
        <v>-0.76299678649553782</v>
      </c>
      <c r="G58" s="143">
        <f t="shared" si="88"/>
        <v>4.8299014581909418E-2</v>
      </c>
      <c r="H58" s="143">
        <f t="shared" si="88"/>
        <v>7.3221783141094787E-2</v>
      </c>
      <c r="I58" s="143">
        <f t="shared" si="88"/>
        <v>4.4824804217495934E-2</v>
      </c>
      <c r="J58" s="143">
        <f t="shared" si="88"/>
        <v>0.10303647969259733</v>
      </c>
      <c r="K58" s="142">
        <f t="shared" si="88"/>
        <v>6.9294401379491249E-2</v>
      </c>
      <c r="L58" s="143">
        <f t="shared" si="88"/>
        <v>6.0171591930924875E-2</v>
      </c>
      <c r="M58" s="143">
        <f t="shared" si="88"/>
        <v>8.0256164627496643E-2</v>
      </c>
      <c r="N58" s="143">
        <f t="shared" si="88"/>
        <v>7.6309808359669593E-2</v>
      </c>
      <c r="O58" s="143">
        <f t="shared" si="88"/>
        <v>3.9360860325653411E-2</v>
      </c>
      <c r="P58" s="142">
        <f t="shared" si="88"/>
        <v>6.3075530053565143E-2</v>
      </c>
      <c r="Q58" s="143">
        <f t="shared" si="88"/>
        <v>1.8823679618674805E-2</v>
      </c>
      <c r="R58" s="143">
        <f t="shared" si="88"/>
        <v>-3.7136011795060785E-2</v>
      </c>
      <c r="S58" s="143">
        <f t="shared" si="88"/>
        <v>-1.8427842342299102E-2</v>
      </c>
      <c r="T58" s="143">
        <f t="shared" si="88"/>
        <v>-5.0235511125018471E-2</v>
      </c>
      <c r="U58" s="142">
        <f t="shared" si="88"/>
        <v>-2.3736877552659699E-2</v>
      </c>
      <c r="V58" s="143">
        <f t="shared" si="88"/>
        <v>-1.8368891275692279E-3</v>
      </c>
      <c r="W58" s="143">
        <f t="shared" si="88"/>
        <v>9.8455375006791402E-3</v>
      </c>
      <c r="X58" s="143">
        <f t="shared" si="88"/>
        <v>0.19823610489915741</v>
      </c>
      <c r="Y58" s="143">
        <f t="shared" si="88"/>
        <v>6.4759692046549258E-2</v>
      </c>
      <c r="Z58" s="142">
        <f t="shared" si="88"/>
        <v>8.7710346033474731E-2</v>
      </c>
      <c r="AA58" s="143">
        <f t="shared" si="88"/>
        <v>8.262154754531259E-2</v>
      </c>
      <c r="AB58" s="143">
        <f t="shared" si="88"/>
        <v>9.4745151291047242E-2</v>
      </c>
      <c r="AC58" s="143">
        <f t="shared" si="88"/>
        <v>-7.4390008962449379E-3</v>
      </c>
      <c r="AD58" s="143">
        <f t="shared" si="88"/>
        <v>1.7678101627946038E-3</v>
      </c>
      <c r="AE58" s="142">
        <f t="shared" si="88"/>
        <v>4.0027805674259162E-2</v>
      </c>
      <c r="AF58" s="143">
        <f t="shared" si="88"/>
        <v>-1.1471063741528816E-2</v>
      </c>
      <c r="AG58" s="143">
        <f t="shared" si="88"/>
        <v>1.5293220206429637E-2</v>
      </c>
      <c r="AH58" s="143">
        <f t="shared" si="88"/>
        <v>0.16474823548926482</v>
      </c>
      <c r="AI58" s="143">
        <f t="shared" ref="AI58:BG58" si="89">INDEX(MO_MA_EBITDA,0,COLUMN())</f>
        <v>0.15438771204531274</v>
      </c>
      <c r="AJ58" s="142">
        <f t="shared" si="89"/>
        <v>0.10539922431423907</v>
      </c>
      <c r="AK58" s="143">
        <f t="shared" si="89"/>
        <v>3.393707403603767E-2</v>
      </c>
      <c r="AL58" s="143">
        <f t="shared" si="89"/>
        <v>9.7796643482281537E-2</v>
      </c>
      <c r="AM58" s="143">
        <f t="shared" si="89"/>
        <v>0.15720307789941299</v>
      </c>
      <c r="AN58" s="143">
        <f t="shared" si="89"/>
        <v>0.16482544360266846</v>
      </c>
      <c r="AO58" s="142">
        <f t="shared" si="89"/>
        <v>0.12136870371877288</v>
      </c>
      <c r="AP58" s="143">
        <f t="shared" si="89"/>
        <v>0.174937343358396</v>
      </c>
      <c r="AQ58" s="143">
        <f t="shared" si="89"/>
        <v>0.20559973492379058</v>
      </c>
      <c r="AR58" s="143">
        <f t="shared" si="89"/>
        <v>0.22072739710409303</v>
      </c>
      <c r="AS58" s="143">
        <f t="shared" si="89"/>
        <v>0.16995532390171258</v>
      </c>
      <c r="AT58" s="142">
        <f t="shared" si="89"/>
        <v>0.19184424150177576</v>
      </c>
      <c r="AU58" s="143">
        <f t="shared" si="89"/>
        <v>0.17605159303109058</v>
      </c>
      <c r="AV58" s="143">
        <f t="shared" si="89"/>
        <v>0.20630540224117747</v>
      </c>
      <c r="AW58" s="766">
        <f t="shared" si="89"/>
        <v>0.23551646434542414</v>
      </c>
      <c r="AX58" s="143">
        <f t="shared" si="89"/>
        <v>0.20594819139526171</v>
      </c>
      <c r="AY58" s="142">
        <f t="shared" si="89"/>
        <v>0.20784329924556297</v>
      </c>
      <c r="AZ58" s="143">
        <f t="shared" si="89"/>
        <v>0.2021211991224223</v>
      </c>
      <c r="BA58" s="143">
        <f t="shared" si="89"/>
        <v>0.1909004773999948</v>
      </c>
      <c r="BB58" s="143">
        <f t="shared" si="89"/>
        <v>0.19797811942457</v>
      </c>
      <c r="BC58" s="143">
        <f t="shared" si="89"/>
        <v>0.17300762625631647</v>
      </c>
      <c r="BD58" s="142">
        <f t="shared" si="89"/>
        <v>0.18949146744744275</v>
      </c>
      <c r="BE58" s="142">
        <f t="shared" si="89"/>
        <v>0.18420968194662371</v>
      </c>
      <c r="BF58" s="142">
        <f t="shared" si="89"/>
        <v>0.18031314645262994</v>
      </c>
      <c r="BG58" s="142">
        <f t="shared" si="89"/>
        <v>0.17566683720346854</v>
      </c>
      <c r="BH58" s="383"/>
    </row>
    <row r="59" spans="1:60" s="78" customFormat="1" ht="15" customHeight="1" x14ac:dyDescent="0.25">
      <c r="A59" s="342" t="str">
        <f>INDEX(MO_MA_EBITDA_Adj,0,COLUMN())</f>
        <v>Adjusted EBITDA Margin, %  -  (No Adjustments)</v>
      </c>
      <c r="B59" s="343"/>
      <c r="C59" s="142">
        <f t="shared" ref="C59:AH59" si="90">INDEX(SP_NGF_EBITDA,0,COLUMN())/INDEX(SP_GF_Rev,0,COLUMN())</f>
        <v>-0.38879608372117958</v>
      </c>
      <c r="D59" s="142">
        <f t="shared" si="90"/>
        <v>-0.98556671006647023</v>
      </c>
      <c r="E59" s="142">
        <f t="shared" si="90"/>
        <v>-1.0044457065637817</v>
      </c>
      <c r="F59" s="142">
        <f t="shared" si="90"/>
        <v>-0.76299678649553782</v>
      </c>
      <c r="G59" s="143">
        <f t="shared" si="90"/>
        <v>4.8299014581909418E-2</v>
      </c>
      <c r="H59" s="143">
        <f t="shared" si="90"/>
        <v>7.3221783141094787E-2</v>
      </c>
      <c r="I59" s="143">
        <f t="shared" si="90"/>
        <v>4.4824804217495934E-2</v>
      </c>
      <c r="J59" s="143">
        <f t="shared" si="90"/>
        <v>0.10303647969259733</v>
      </c>
      <c r="K59" s="142">
        <f t="shared" si="90"/>
        <v>6.9294401379491249E-2</v>
      </c>
      <c r="L59" s="143">
        <f t="shared" si="90"/>
        <v>6.0171591930924875E-2</v>
      </c>
      <c r="M59" s="143">
        <f t="shared" si="90"/>
        <v>8.0256164627496643E-2</v>
      </c>
      <c r="N59" s="143">
        <f t="shared" si="90"/>
        <v>7.6309808359669593E-2</v>
      </c>
      <c r="O59" s="143">
        <f t="shared" si="90"/>
        <v>3.9360860325653411E-2</v>
      </c>
      <c r="P59" s="142">
        <f t="shared" si="90"/>
        <v>6.3075530053565143E-2</v>
      </c>
      <c r="Q59" s="143">
        <f t="shared" si="90"/>
        <v>1.8823679618674805E-2</v>
      </c>
      <c r="R59" s="143">
        <f t="shared" si="90"/>
        <v>-3.7136011795060785E-2</v>
      </c>
      <c r="S59" s="143">
        <f t="shared" si="90"/>
        <v>-1.8427842342299102E-2</v>
      </c>
      <c r="T59" s="143">
        <f t="shared" si="90"/>
        <v>-5.0235511125018471E-2</v>
      </c>
      <c r="U59" s="142">
        <f t="shared" si="90"/>
        <v>-2.3736877552659699E-2</v>
      </c>
      <c r="V59" s="143">
        <f t="shared" si="90"/>
        <v>-1.8368891275692279E-3</v>
      </c>
      <c r="W59" s="143">
        <f t="shared" si="90"/>
        <v>9.8455375006791402E-3</v>
      </c>
      <c r="X59" s="143">
        <f t="shared" si="90"/>
        <v>0.19823610489915741</v>
      </c>
      <c r="Y59" s="143">
        <f t="shared" si="90"/>
        <v>6.4759692046549258E-2</v>
      </c>
      <c r="Z59" s="142">
        <f t="shared" si="90"/>
        <v>8.7710346033474731E-2</v>
      </c>
      <c r="AA59" s="143">
        <f t="shared" si="90"/>
        <v>8.262154754531259E-2</v>
      </c>
      <c r="AB59" s="143">
        <f t="shared" si="90"/>
        <v>9.4745151291047242E-2</v>
      </c>
      <c r="AC59" s="143">
        <f t="shared" si="90"/>
        <v>-7.4390008962449379E-3</v>
      </c>
      <c r="AD59" s="143">
        <f t="shared" si="90"/>
        <v>1.7678101627946038E-3</v>
      </c>
      <c r="AE59" s="142">
        <f t="shared" si="90"/>
        <v>4.0027805674259162E-2</v>
      </c>
      <c r="AF59" s="143">
        <f t="shared" si="90"/>
        <v>-1.1471063741528816E-2</v>
      </c>
      <c r="AG59" s="143">
        <f t="shared" si="90"/>
        <v>1.5293220206429637E-2</v>
      </c>
      <c r="AH59" s="143">
        <f t="shared" si="90"/>
        <v>0.16474823548926482</v>
      </c>
      <c r="AI59" s="143">
        <f t="shared" ref="AI59:BG59" si="91">INDEX(SP_NGF_EBITDA,0,COLUMN())/INDEX(SP_GF_Rev,0,COLUMN())</f>
        <v>0.15438771204531274</v>
      </c>
      <c r="AJ59" s="142">
        <f t="shared" si="91"/>
        <v>0.10539922431423907</v>
      </c>
      <c r="AK59" s="143">
        <f t="shared" si="91"/>
        <v>3.393707403603767E-2</v>
      </c>
      <c r="AL59" s="143">
        <f t="shared" si="91"/>
        <v>9.7796643482281537E-2</v>
      </c>
      <c r="AM59" s="143">
        <f t="shared" si="91"/>
        <v>0.15720307789941299</v>
      </c>
      <c r="AN59" s="143">
        <f t="shared" si="91"/>
        <v>0.16482544360266846</v>
      </c>
      <c r="AO59" s="142">
        <f t="shared" si="91"/>
        <v>0.12136870371877288</v>
      </c>
      <c r="AP59" s="143">
        <f t="shared" si="91"/>
        <v>0.174937343358396</v>
      </c>
      <c r="AQ59" s="143">
        <f t="shared" si="91"/>
        <v>0.20559973492379058</v>
      </c>
      <c r="AR59" s="143">
        <f t="shared" si="91"/>
        <v>0.22072739710409303</v>
      </c>
      <c r="AS59" s="143">
        <f t="shared" si="91"/>
        <v>0.16995532390171258</v>
      </c>
      <c r="AT59" s="142">
        <f t="shared" si="91"/>
        <v>0.19184424150177576</v>
      </c>
      <c r="AU59" s="143">
        <f t="shared" si="91"/>
        <v>0.17605159303109058</v>
      </c>
      <c r="AV59" s="143">
        <f t="shared" si="91"/>
        <v>0.20630540224117747</v>
      </c>
      <c r="AW59" s="766">
        <f t="shared" si="91"/>
        <v>0.23551646434542414</v>
      </c>
      <c r="AX59" s="143">
        <f t="shared" si="91"/>
        <v>0.20594819139526171</v>
      </c>
      <c r="AY59" s="142">
        <f t="shared" si="91"/>
        <v>0.207843299245563</v>
      </c>
      <c r="AZ59" s="143">
        <f t="shared" si="91"/>
        <v>0.2021211991224223</v>
      </c>
      <c r="BA59" s="143">
        <f t="shared" si="91"/>
        <v>0.1909004773999948</v>
      </c>
      <c r="BB59" s="143">
        <f t="shared" si="91"/>
        <v>0.19797811942457</v>
      </c>
      <c r="BC59" s="143">
        <f t="shared" si="91"/>
        <v>0.17300762625631647</v>
      </c>
      <c r="BD59" s="142">
        <f t="shared" si="91"/>
        <v>0.18949146744744277</v>
      </c>
      <c r="BE59" s="142">
        <f t="shared" si="91"/>
        <v>0.18420968194662371</v>
      </c>
      <c r="BF59" s="142">
        <f t="shared" si="91"/>
        <v>0.18031314645262994</v>
      </c>
      <c r="BG59" s="142">
        <f t="shared" si="91"/>
        <v>0.17566683720346854</v>
      </c>
      <c r="BH59" s="383"/>
    </row>
    <row r="60" spans="1:60" ht="15" customHeight="1" x14ac:dyDescent="0.25">
      <c r="A60" s="339"/>
      <c r="B60" s="331"/>
      <c r="C60" s="1089"/>
      <c r="D60" s="1089"/>
      <c r="E60" s="1089"/>
      <c r="F60" s="1089"/>
      <c r="G60" s="1090"/>
      <c r="H60" s="1090"/>
      <c r="I60" s="1090"/>
      <c r="J60" s="1090"/>
      <c r="K60" s="1089"/>
      <c r="L60" s="1090"/>
      <c r="M60" s="1090"/>
      <c r="N60" s="1090"/>
      <c r="O60" s="1090"/>
      <c r="P60" s="1089"/>
      <c r="Q60" s="1090"/>
      <c r="R60" s="1090"/>
      <c r="S60" s="1090"/>
      <c r="T60" s="1090"/>
      <c r="U60" s="1089"/>
      <c r="V60" s="1090"/>
      <c r="W60" s="1090"/>
      <c r="X60" s="1090"/>
      <c r="Y60" s="1090"/>
      <c r="Z60" s="1089"/>
      <c r="AA60" s="1090"/>
      <c r="AB60" s="1090"/>
      <c r="AC60" s="1090"/>
      <c r="AD60" s="1090"/>
      <c r="AE60" s="1089"/>
      <c r="AF60" s="1090"/>
      <c r="AG60" s="1090"/>
      <c r="AH60" s="1090"/>
      <c r="AI60" s="1090"/>
      <c r="AJ60" s="1089"/>
      <c r="AK60" s="1090"/>
      <c r="AL60" s="1090"/>
      <c r="AM60" s="1090"/>
      <c r="AN60" s="1090"/>
      <c r="AO60" s="1089"/>
      <c r="AP60" s="1090"/>
      <c r="AQ60" s="1090"/>
      <c r="AR60" s="1090"/>
      <c r="AS60" s="1090"/>
      <c r="AT60" s="1089"/>
      <c r="AU60" s="1090"/>
      <c r="AV60" s="1090"/>
      <c r="AW60" s="1091"/>
      <c r="AX60" s="1090"/>
      <c r="AY60" s="1089"/>
      <c r="AZ60" s="1090"/>
      <c r="BA60" s="1090"/>
      <c r="BB60" s="1090"/>
      <c r="BC60" s="1090"/>
      <c r="BD60" s="1089"/>
      <c r="BE60" s="1089"/>
      <c r="BF60" s="1089"/>
      <c r="BG60" s="1089"/>
      <c r="BH60" s="1032"/>
    </row>
    <row r="61" spans="1:60" ht="15" customHeight="1" x14ac:dyDescent="0.25">
      <c r="A61" s="199" t="s">
        <v>389</v>
      </c>
      <c r="B61" s="1033"/>
      <c r="C61" s="1092"/>
      <c r="D61" s="1092"/>
      <c r="E61" s="1092"/>
      <c r="F61" s="1092"/>
      <c r="G61" s="1092"/>
      <c r="H61" s="1092"/>
      <c r="I61" s="1092"/>
      <c r="J61" s="1092"/>
      <c r="K61" s="1092"/>
      <c r="L61" s="1092"/>
      <c r="M61" s="1092"/>
      <c r="N61" s="1092"/>
      <c r="O61" s="1092"/>
      <c r="P61" s="1092"/>
      <c r="Q61" s="1092"/>
      <c r="R61" s="1092"/>
      <c r="S61" s="1092"/>
      <c r="T61" s="1092"/>
      <c r="U61" s="1092"/>
      <c r="V61" s="1092"/>
      <c r="W61" s="1092"/>
      <c r="X61" s="1092"/>
      <c r="Y61" s="1092"/>
      <c r="Z61" s="1092"/>
      <c r="AA61" s="1092"/>
      <c r="AB61" s="1092"/>
      <c r="AC61" s="1092"/>
      <c r="AD61" s="1092"/>
      <c r="AE61" s="1092"/>
      <c r="AF61" s="1092"/>
      <c r="AG61" s="1092"/>
      <c r="AH61" s="1092"/>
      <c r="AI61" s="1092"/>
      <c r="AJ61" s="1092"/>
      <c r="AK61" s="1092"/>
      <c r="AL61" s="1092"/>
      <c r="AM61" s="1092"/>
      <c r="AN61" s="1092"/>
      <c r="AO61" s="1092"/>
      <c r="AP61" s="1092"/>
      <c r="AQ61" s="1092"/>
      <c r="AR61" s="1092"/>
      <c r="AS61" s="1092"/>
      <c r="AT61" s="1092"/>
      <c r="AU61" s="1092"/>
      <c r="AV61" s="1092"/>
      <c r="AW61" s="1093"/>
      <c r="AX61" s="1092"/>
      <c r="AY61" s="1092"/>
      <c r="AZ61" s="1092"/>
      <c r="BA61" s="1092"/>
      <c r="BB61" s="1092"/>
      <c r="BC61" s="1092"/>
      <c r="BD61" s="1092"/>
      <c r="BE61" s="1092"/>
      <c r="BF61" s="1092"/>
      <c r="BG61" s="1092"/>
      <c r="BH61" s="1030"/>
    </row>
    <row r="62" spans="1:60" s="76" customFormat="1" ht="15" customHeight="1" x14ac:dyDescent="0.25">
      <c r="A62" s="326" t="str">
        <f>INDEX(MO_CFSum_CFO_BeforeWC,0,COLUMN())</f>
        <v>Operating Cash Flow before WC</v>
      </c>
      <c r="B62" s="331"/>
      <c r="C62" s="1089">
        <f t="shared" ref="C62:AH62" si="92">INDEX(MO_CFSum_CFO_BeforeWC,0,COLUMN())</f>
        <v>-43.282000000000004</v>
      </c>
      <c r="D62" s="1089">
        <f t="shared" si="92"/>
        <v>-116.56800000000001</v>
      </c>
      <c r="E62" s="1089">
        <f t="shared" si="92"/>
        <v>-203.26199999999997</v>
      </c>
      <c r="F62" s="1089">
        <f t="shared" si="92"/>
        <v>-308.90000000000009</v>
      </c>
      <c r="G62" s="1090">
        <f t="shared" si="92"/>
        <v>35.196000000000005</v>
      </c>
      <c r="H62" s="1090">
        <f t="shared" si="92"/>
        <v>27.118999999999996</v>
      </c>
      <c r="I62" s="1090">
        <f t="shared" si="92"/>
        <v>16.980000000000011</v>
      </c>
      <c r="J62" s="1090">
        <f t="shared" si="92"/>
        <v>36.550999999999988</v>
      </c>
      <c r="K62" s="1089">
        <f t="shared" si="92"/>
        <v>115.84599999999999</v>
      </c>
      <c r="L62" s="1090">
        <f t="shared" si="92"/>
        <v>42.228999999999999</v>
      </c>
      <c r="M62" s="1090">
        <f t="shared" si="92"/>
        <v>63.582999999999998</v>
      </c>
      <c r="N62" s="1090">
        <f t="shared" si="92"/>
        <v>66.689000000000007</v>
      </c>
      <c r="O62" s="1090">
        <f t="shared" si="92"/>
        <v>26.986999999999981</v>
      </c>
      <c r="P62" s="1089">
        <f t="shared" si="92"/>
        <v>199.488</v>
      </c>
      <c r="Q62" s="1090">
        <f t="shared" si="92"/>
        <v>23.390999999999988</v>
      </c>
      <c r="R62" s="1090">
        <f t="shared" si="92"/>
        <v>-29.464999999999996</v>
      </c>
      <c r="S62" s="1090">
        <f t="shared" si="92"/>
        <v>-10.89299999999993</v>
      </c>
      <c r="T62" s="1090">
        <f t="shared" si="92"/>
        <v>-14.243000000000094</v>
      </c>
      <c r="U62" s="1089">
        <f t="shared" si="92"/>
        <v>-31.210000000000093</v>
      </c>
      <c r="V62" s="1090">
        <f t="shared" si="92"/>
        <v>21.424000000000007</v>
      </c>
      <c r="W62" s="1090">
        <f t="shared" si="92"/>
        <v>-9.1480000000000459</v>
      </c>
      <c r="X62" s="1090">
        <f t="shared" si="92"/>
        <v>459.37</v>
      </c>
      <c r="Y62" s="1090">
        <f t="shared" si="92"/>
        <v>98.386000000000053</v>
      </c>
      <c r="Z62" s="1089">
        <f t="shared" si="92"/>
        <v>570.03200000000004</v>
      </c>
      <c r="AA62" s="1090">
        <f t="shared" si="92"/>
        <v>192.96899999999997</v>
      </c>
      <c r="AB62" s="1090">
        <f t="shared" si="92"/>
        <v>280.92100000000005</v>
      </c>
      <c r="AC62" s="1090">
        <f t="shared" si="92"/>
        <v>-50.794000000000118</v>
      </c>
      <c r="AD62" s="1090">
        <f t="shared" si="92"/>
        <v>12.852999999999966</v>
      </c>
      <c r="AE62" s="1089">
        <f t="shared" si="92"/>
        <v>435.9489999999999</v>
      </c>
      <c r="AF62" s="1090">
        <f t="shared" si="92"/>
        <v>-72.949999999999932</v>
      </c>
      <c r="AG62" s="1090">
        <f t="shared" si="92"/>
        <v>37.32499999999991</v>
      </c>
      <c r="AH62" s="1090">
        <f t="shared" si="92"/>
        <v>1039.9630000000002</v>
      </c>
      <c r="AI62" s="1090">
        <f t="shared" ref="AI62:AY62" si="93">INDEX(MO_CFSum_CFO_BeforeWC,0,COLUMN())</f>
        <v>1035.5129999999997</v>
      </c>
      <c r="AJ62" s="1089">
        <f t="shared" si="93"/>
        <v>2039.8509999999997</v>
      </c>
      <c r="AK62" s="1090">
        <f t="shared" si="93"/>
        <v>36.495000000000019</v>
      </c>
      <c r="AL62" s="1090">
        <f t="shared" si="93"/>
        <v>576.45799999999997</v>
      </c>
      <c r="AM62" s="1090">
        <f t="shared" si="93"/>
        <v>947.04700000000003</v>
      </c>
      <c r="AN62" s="1090">
        <f t="shared" si="93"/>
        <v>1194</v>
      </c>
      <c r="AO62" s="1089">
        <f t="shared" si="93"/>
        <v>2754</v>
      </c>
      <c r="AP62" s="1090">
        <f t="shared" si="93"/>
        <v>1007</v>
      </c>
      <c r="AQ62" s="1090">
        <f t="shared" si="93"/>
        <v>1210</v>
      </c>
      <c r="AR62" s="1090">
        <f>INDEX(MO_CFSum_CFO_BeforeWC,0,COLUMN())</f>
        <v>1765</v>
      </c>
      <c r="AS62" s="1090">
        <f>INDEX(MO_CFSum_CFO_BeforeWC,0,COLUMN())</f>
        <v>1777</v>
      </c>
      <c r="AT62" s="1089">
        <f>INDEX(MO_CFSum_CFO_BeforeWC,0,COLUMN())</f>
        <v>5759</v>
      </c>
      <c r="AU62" s="1090">
        <f t="shared" si="93"/>
        <v>1653</v>
      </c>
      <c r="AV62" s="1090">
        <f>INDEX(MO_CFSum_CFO_BeforeWC,0,COLUMN())</f>
        <v>2448</v>
      </c>
      <c r="AW62" s="1091">
        <f>INDEX(MO_CFSum_CFO_BeforeWC,0,COLUMN())</f>
        <v>3148</v>
      </c>
      <c r="AX62" s="1090">
        <f t="shared" si="93"/>
        <v>2882.4154390238041</v>
      </c>
      <c r="AY62" s="1089">
        <f t="shared" si="93"/>
        <v>10131.415439023804</v>
      </c>
      <c r="AZ62" s="1090">
        <f t="shared" ref="AZ62:BG62" ca="1" si="94">INDEX(MO_CFSum_CFO_BeforeWC,0,COLUMN())</f>
        <v>3551.9556413243135</v>
      </c>
      <c r="BA62" s="1090">
        <f t="shared" ca="1" si="94"/>
        <v>3945.783307658357</v>
      </c>
      <c r="BB62" s="1090">
        <f t="shared" ca="1" si="94"/>
        <v>4870.6740736682104</v>
      </c>
      <c r="BC62" s="1090">
        <f t="shared" ca="1" si="94"/>
        <v>4816.3353086416855</v>
      </c>
      <c r="BD62" s="1089">
        <f t="shared" ca="1" si="94"/>
        <v>17184.748331292569</v>
      </c>
      <c r="BE62" s="1089">
        <f t="shared" ca="1" si="94"/>
        <v>20539.851790473938</v>
      </c>
      <c r="BF62" s="1089">
        <f t="shared" ca="1" si="94"/>
        <v>24599.208737247034</v>
      </c>
      <c r="BG62" s="1089">
        <f t="shared" ca="1" si="94"/>
        <v>29325.721244325301</v>
      </c>
      <c r="BH62" s="1032"/>
    </row>
    <row r="63" spans="1:60" s="75" customFormat="1" ht="15" customHeight="1" x14ac:dyDescent="0.25">
      <c r="A63" s="490" t="str">
        <f>INDEX(MO_CFSum_Capex,0,COLUMN())</f>
        <v>Capex</v>
      </c>
      <c r="B63" s="491"/>
      <c r="C63" s="1080">
        <f t="shared" ref="C63:AH63" si="95">INDEX(MO_CFSum_Capex,0,COLUMN())</f>
        <v>-11.884</v>
      </c>
      <c r="D63" s="1080">
        <f t="shared" si="95"/>
        <v>-40.203000000000003</v>
      </c>
      <c r="E63" s="1080">
        <f t="shared" si="95"/>
        <v>-184.226</v>
      </c>
      <c r="F63" s="1080">
        <f t="shared" si="95"/>
        <v>-239.22800000000001</v>
      </c>
      <c r="G63" s="1081">
        <f t="shared" si="95"/>
        <v>-57.726999999999997</v>
      </c>
      <c r="H63" s="1081">
        <f t="shared" si="95"/>
        <v>-40.515000000000008</v>
      </c>
      <c r="I63" s="1081">
        <f t="shared" si="95"/>
        <v>-76.547999999999988</v>
      </c>
      <c r="J63" s="1081">
        <f t="shared" si="95"/>
        <v>-89.433999999999997</v>
      </c>
      <c r="K63" s="1080">
        <f t="shared" si="95"/>
        <v>-264.22399999999999</v>
      </c>
      <c r="L63" s="1081">
        <f t="shared" si="95"/>
        <v>-141.364</v>
      </c>
      <c r="M63" s="1081">
        <f t="shared" si="95"/>
        <v>-175.68499999999997</v>
      </c>
      <c r="N63" s="1081">
        <f t="shared" si="95"/>
        <v>-284.17500000000007</v>
      </c>
      <c r="O63" s="1081">
        <f t="shared" si="95"/>
        <v>-368.66099999999994</v>
      </c>
      <c r="P63" s="1080">
        <f t="shared" si="95"/>
        <v>-969.88499999999999</v>
      </c>
      <c r="Q63" s="1081">
        <f t="shared" si="95"/>
        <v>-426.06</v>
      </c>
      <c r="R63" s="1081">
        <f t="shared" si="95"/>
        <v>-405.16500000000002</v>
      </c>
      <c r="S63" s="1081">
        <f t="shared" si="95"/>
        <v>-392.40299999999991</v>
      </c>
      <c r="T63" s="1081">
        <f t="shared" si="95"/>
        <v>-411.22199999999998</v>
      </c>
      <c r="U63" s="1080">
        <f t="shared" si="95"/>
        <v>-1634.85</v>
      </c>
      <c r="V63" s="1081">
        <f t="shared" si="95"/>
        <v>-216.85900000000001</v>
      </c>
      <c r="W63" s="1081">
        <f t="shared" si="95"/>
        <v>-294.72000000000003</v>
      </c>
      <c r="X63" s="1081">
        <f t="shared" si="95"/>
        <v>-247.61100000000005</v>
      </c>
      <c r="Y63" s="1081">
        <f t="shared" si="95"/>
        <v>-681.28099999999984</v>
      </c>
      <c r="Z63" s="1080">
        <f t="shared" si="95"/>
        <v>-1440.471</v>
      </c>
      <c r="AA63" s="1081">
        <f t="shared" si="95"/>
        <v>-772.572</v>
      </c>
      <c r="AB63" s="1081">
        <f t="shared" si="95"/>
        <v>-1157.912</v>
      </c>
      <c r="AC63" s="1081">
        <f t="shared" si="95"/>
        <v>-1244.7270000000003</v>
      </c>
      <c r="AD63" s="1081">
        <f t="shared" si="95"/>
        <v>-906.14299999999957</v>
      </c>
      <c r="AE63" s="1080">
        <f t="shared" si="95"/>
        <v>-4081.3539999999998</v>
      </c>
      <c r="AF63" s="1081">
        <f t="shared" si="95"/>
        <v>-728.63700000000006</v>
      </c>
      <c r="AG63" s="1081">
        <f t="shared" si="95"/>
        <v>-677.21299999999985</v>
      </c>
      <c r="AH63" s="1081">
        <f t="shared" si="95"/>
        <v>-559.76500000000021</v>
      </c>
      <c r="AI63" s="1081">
        <f t="shared" ref="AI63:AY63" si="96">INDEX(MO_CFSum_Capex,0,COLUMN())</f>
        <v>-353.90100000000007</v>
      </c>
      <c r="AJ63" s="1080">
        <f t="shared" si="96"/>
        <v>-2319.5160000000001</v>
      </c>
      <c r="AK63" s="1081">
        <f t="shared" si="96"/>
        <v>-305.19300000000004</v>
      </c>
      <c r="AL63" s="1081">
        <f t="shared" si="96"/>
        <v>-273.20700000000005</v>
      </c>
      <c r="AM63" s="1081">
        <f t="shared" si="96"/>
        <v>-409.59999999999997</v>
      </c>
      <c r="AN63" s="1081">
        <f t="shared" si="96"/>
        <v>-449</v>
      </c>
      <c r="AO63" s="1080">
        <f t="shared" si="96"/>
        <v>-1437</v>
      </c>
      <c r="AP63" s="1081">
        <f t="shared" si="96"/>
        <v>-481</v>
      </c>
      <c r="AQ63" s="1081">
        <f t="shared" si="96"/>
        <v>-566</v>
      </c>
      <c r="AR63" s="1081">
        <f>INDEX(MO_CFSum_Capex,0,COLUMN())</f>
        <v>-1026</v>
      </c>
      <c r="AS63" s="1081">
        <f>INDEX(MO_CFSum_Capex,0,COLUMN())</f>
        <v>-1169</v>
      </c>
      <c r="AT63" s="1080">
        <f>INDEX(MO_CFSum_Capex,0,COLUMN())</f>
        <v>-3242</v>
      </c>
      <c r="AU63" s="1081">
        <f t="shared" si="96"/>
        <v>-1360</v>
      </c>
      <c r="AV63" s="1081">
        <f>INDEX(MO_CFSum_Capex,0,COLUMN())</f>
        <v>-1515</v>
      </c>
      <c r="AW63" s="1082">
        <f>INDEX(MO_CFSum_Capex,0,COLUMN())</f>
        <v>-1825</v>
      </c>
      <c r="AX63" s="1081">
        <f t="shared" si="96"/>
        <v>-1200</v>
      </c>
      <c r="AY63" s="1080">
        <f t="shared" si="96"/>
        <v>-5900</v>
      </c>
      <c r="AZ63" s="1081">
        <f t="shared" ref="AZ63:BG63" si="97">INDEX(MO_CFSum_Capex,0,COLUMN())</f>
        <v>-1500</v>
      </c>
      <c r="BA63" s="1081">
        <f t="shared" si="97"/>
        <v>-1500</v>
      </c>
      <c r="BB63" s="1081">
        <f t="shared" si="97"/>
        <v>-1500</v>
      </c>
      <c r="BC63" s="1081">
        <f t="shared" si="97"/>
        <v>-1500</v>
      </c>
      <c r="BD63" s="1080">
        <f t="shared" si="97"/>
        <v>-6000</v>
      </c>
      <c r="BE63" s="1080">
        <f t="shared" si="97"/>
        <v>-6000</v>
      </c>
      <c r="BF63" s="1080">
        <f t="shared" si="97"/>
        <v>-6000</v>
      </c>
      <c r="BG63" s="1080">
        <f t="shared" si="97"/>
        <v>-6000</v>
      </c>
      <c r="BH63" s="1030"/>
    </row>
    <row r="64" spans="1:60" s="76" customFormat="1" ht="15" customHeight="1" x14ac:dyDescent="0.25">
      <c r="A64" s="329" t="s">
        <v>390</v>
      </c>
      <c r="B64" s="330"/>
      <c r="C64" s="1083">
        <f t="shared" ref="C64:AH64" si="98">SUM(C62:C63)</f>
        <v>-55.166000000000004</v>
      </c>
      <c r="D64" s="1083">
        <f t="shared" si="98"/>
        <v>-156.77100000000002</v>
      </c>
      <c r="E64" s="1083">
        <f t="shared" si="98"/>
        <v>-387.48799999999994</v>
      </c>
      <c r="F64" s="1083">
        <f t="shared" si="98"/>
        <v>-548.12800000000016</v>
      </c>
      <c r="G64" s="1084">
        <f t="shared" si="98"/>
        <v>-22.530999999999992</v>
      </c>
      <c r="H64" s="1084">
        <f t="shared" si="98"/>
        <v>-13.396000000000011</v>
      </c>
      <c r="I64" s="1084">
        <f t="shared" si="98"/>
        <v>-59.567999999999977</v>
      </c>
      <c r="J64" s="1084">
        <f t="shared" si="98"/>
        <v>-52.88300000000001</v>
      </c>
      <c r="K64" s="1083">
        <f t="shared" si="98"/>
        <v>-148.37799999999999</v>
      </c>
      <c r="L64" s="1084">
        <f t="shared" si="98"/>
        <v>-99.135000000000005</v>
      </c>
      <c r="M64" s="1084">
        <f t="shared" si="98"/>
        <v>-112.10199999999998</v>
      </c>
      <c r="N64" s="1084">
        <f t="shared" si="98"/>
        <v>-217.48600000000005</v>
      </c>
      <c r="O64" s="1084">
        <f t="shared" si="98"/>
        <v>-341.67399999999998</v>
      </c>
      <c r="P64" s="1083">
        <f t="shared" si="98"/>
        <v>-770.39699999999993</v>
      </c>
      <c r="Q64" s="1084">
        <f t="shared" si="98"/>
        <v>-402.66900000000004</v>
      </c>
      <c r="R64" s="1084">
        <f t="shared" si="98"/>
        <v>-434.63</v>
      </c>
      <c r="S64" s="1084">
        <f t="shared" si="98"/>
        <v>-403.29599999999982</v>
      </c>
      <c r="T64" s="1084">
        <f t="shared" si="98"/>
        <v>-425.46500000000009</v>
      </c>
      <c r="U64" s="1083">
        <f t="shared" si="98"/>
        <v>-1666.06</v>
      </c>
      <c r="V64" s="1084">
        <f t="shared" si="98"/>
        <v>-195.435</v>
      </c>
      <c r="W64" s="1084">
        <f t="shared" si="98"/>
        <v>-303.86800000000005</v>
      </c>
      <c r="X64" s="1084">
        <f t="shared" si="98"/>
        <v>211.75899999999996</v>
      </c>
      <c r="Y64" s="1084">
        <f t="shared" si="98"/>
        <v>-582.89499999999975</v>
      </c>
      <c r="Z64" s="1083">
        <f t="shared" si="98"/>
        <v>-870.43899999999996</v>
      </c>
      <c r="AA64" s="1084">
        <f t="shared" si="98"/>
        <v>-579.60300000000007</v>
      </c>
      <c r="AB64" s="1084">
        <f t="shared" si="98"/>
        <v>-876.99099999999999</v>
      </c>
      <c r="AC64" s="1084">
        <f t="shared" si="98"/>
        <v>-1295.5210000000004</v>
      </c>
      <c r="AD64" s="1084">
        <f t="shared" si="98"/>
        <v>-893.28999999999962</v>
      </c>
      <c r="AE64" s="1083">
        <f t="shared" si="98"/>
        <v>-3645.4049999999997</v>
      </c>
      <c r="AF64" s="1084">
        <f t="shared" si="98"/>
        <v>-801.58699999999999</v>
      </c>
      <c r="AG64" s="1084">
        <f t="shared" si="98"/>
        <v>-639.88799999999992</v>
      </c>
      <c r="AH64" s="1084">
        <f t="shared" si="98"/>
        <v>480.19799999999998</v>
      </c>
      <c r="AI64" s="1084">
        <f t="shared" ref="AI64:AY64" si="99">SUM(AI62:AI63)</f>
        <v>681.61199999999963</v>
      </c>
      <c r="AJ64" s="1083">
        <f t="shared" si="99"/>
        <v>-279.66500000000042</v>
      </c>
      <c r="AK64" s="1084">
        <f t="shared" si="99"/>
        <v>-268.69800000000004</v>
      </c>
      <c r="AL64" s="1084">
        <f t="shared" si="99"/>
        <v>303.25099999999992</v>
      </c>
      <c r="AM64" s="1084">
        <f t="shared" si="99"/>
        <v>537.44700000000012</v>
      </c>
      <c r="AN64" s="1084">
        <f t="shared" si="99"/>
        <v>745</v>
      </c>
      <c r="AO64" s="1083">
        <f t="shared" si="99"/>
        <v>1317</v>
      </c>
      <c r="AP64" s="1084">
        <f t="shared" si="99"/>
        <v>526</v>
      </c>
      <c r="AQ64" s="1084">
        <f t="shared" si="99"/>
        <v>644</v>
      </c>
      <c r="AR64" s="1084">
        <f>SUM(AR62:AR63)</f>
        <v>739</v>
      </c>
      <c r="AS64" s="1084">
        <f>SUM(AS62:AS63)</f>
        <v>608</v>
      </c>
      <c r="AT64" s="1083">
        <f>SUM(AT62:AT63)</f>
        <v>2517</v>
      </c>
      <c r="AU64" s="1084">
        <f t="shared" ref="AU64" si="100">SUM(AU62:AU63)</f>
        <v>293</v>
      </c>
      <c r="AV64" s="1084">
        <f>SUM(AV62:AV63)</f>
        <v>933</v>
      </c>
      <c r="AW64" s="1085">
        <f>SUM(AW62:AW63)</f>
        <v>1323</v>
      </c>
      <c r="AX64" s="1084">
        <f t="shared" si="99"/>
        <v>1682.4154390238041</v>
      </c>
      <c r="AY64" s="1083">
        <f t="shared" si="99"/>
        <v>4231.4154390238036</v>
      </c>
      <c r="AZ64" s="1084">
        <f t="shared" ref="AZ64:BG64" ca="1" si="101">SUM(AZ62:AZ63)</f>
        <v>2051.9556413243135</v>
      </c>
      <c r="BA64" s="1084">
        <f t="shared" ca="1" si="101"/>
        <v>2445.783307658357</v>
      </c>
      <c r="BB64" s="1084">
        <f t="shared" ca="1" si="101"/>
        <v>3370.6740736682104</v>
      </c>
      <c r="BC64" s="1084">
        <f t="shared" ca="1" si="101"/>
        <v>3316.3353086416855</v>
      </c>
      <c r="BD64" s="1083">
        <f t="shared" ca="1" si="101"/>
        <v>11184.748331292569</v>
      </c>
      <c r="BE64" s="1083">
        <f t="shared" ca="1" si="101"/>
        <v>14539.851790473938</v>
      </c>
      <c r="BF64" s="1083">
        <f t="shared" ca="1" si="101"/>
        <v>18599.208737247034</v>
      </c>
      <c r="BG64" s="1083">
        <f t="shared" ca="1" si="101"/>
        <v>23325.721244325301</v>
      </c>
      <c r="BH64" s="1032"/>
    </row>
    <row r="65" spans="1:60" s="75" customFormat="1" ht="15" customHeight="1" x14ac:dyDescent="0.25">
      <c r="A65" s="490" t="str">
        <f>INDEX(MO_CFSum_Dividend,0,COLUMN())</f>
        <v>Dividend Paid</v>
      </c>
      <c r="B65" s="491"/>
      <c r="C65" s="1080">
        <f t="shared" ref="C65:AH65" si="102">INDEX(MO_CFSum_Dividend,0,COLUMN())</f>
        <v>0</v>
      </c>
      <c r="D65" s="1080">
        <f t="shared" si="102"/>
        <v>0</v>
      </c>
      <c r="E65" s="1080">
        <f t="shared" si="102"/>
        <v>0</v>
      </c>
      <c r="F65" s="1080">
        <f t="shared" si="102"/>
        <v>0</v>
      </c>
      <c r="G65" s="1081">
        <f t="shared" si="102"/>
        <v>0</v>
      </c>
      <c r="H65" s="1081">
        <f t="shared" si="102"/>
        <v>0</v>
      </c>
      <c r="I65" s="1081">
        <f t="shared" si="102"/>
        <v>0</v>
      </c>
      <c r="J65" s="1081">
        <f t="shared" si="102"/>
        <v>0</v>
      </c>
      <c r="K65" s="1080">
        <f t="shared" si="102"/>
        <v>0</v>
      </c>
      <c r="L65" s="1081">
        <f t="shared" si="102"/>
        <v>0</v>
      </c>
      <c r="M65" s="1081">
        <f t="shared" si="102"/>
        <v>0</v>
      </c>
      <c r="N65" s="1081">
        <f t="shared" si="102"/>
        <v>0</v>
      </c>
      <c r="O65" s="1081">
        <f t="shared" si="102"/>
        <v>0</v>
      </c>
      <c r="P65" s="1080">
        <f t="shared" si="102"/>
        <v>0</v>
      </c>
      <c r="Q65" s="1081">
        <f t="shared" si="102"/>
        <v>0</v>
      </c>
      <c r="R65" s="1081">
        <f t="shared" si="102"/>
        <v>0</v>
      </c>
      <c r="S65" s="1081">
        <f t="shared" si="102"/>
        <v>0</v>
      </c>
      <c r="T65" s="1081">
        <f t="shared" si="102"/>
        <v>0</v>
      </c>
      <c r="U65" s="1080">
        <f t="shared" si="102"/>
        <v>0</v>
      </c>
      <c r="V65" s="1081">
        <f t="shared" si="102"/>
        <v>0</v>
      </c>
      <c r="W65" s="1081">
        <f t="shared" si="102"/>
        <v>0</v>
      </c>
      <c r="X65" s="1081">
        <f t="shared" si="102"/>
        <v>0</v>
      </c>
      <c r="Y65" s="1081">
        <f t="shared" si="102"/>
        <v>0</v>
      </c>
      <c r="Z65" s="1080">
        <f t="shared" si="102"/>
        <v>0</v>
      </c>
      <c r="AA65" s="1081">
        <f t="shared" si="102"/>
        <v>-63.695999999999998</v>
      </c>
      <c r="AB65" s="1081">
        <f t="shared" si="102"/>
        <v>-60.177000000000007</v>
      </c>
      <c r="AC65" s="1081">
        <f t="shared" si="102"/>
        <v>-66.841999999999999</v>
      </c>
      <c r="AD65" s="1081">
        <f t="shared" si="102"/>
        <v>-71.128999999999991</v>
      </c>
      <c r="AE65" s="1080">
        <f t="shared" si="102"/>
        <v>-261.84399999999999</v>
      </c>
      <c r="AF65" s="1081">
        <f t="shared" si="102"/>
        <v>-52.942</v>
      </c>
      <c r="AG65" s="1081">
        <f t="shared" si="102"/>
        <v>-56.603000000000002</v>
      </c>
      <c r="AH65" s="1081">
        <f t="shared" si="102"/>
        <v>-68.965999999999994</v>
      </c>
      <c r="AI65" s="1081">
        <f t="shared" ref="AI65:AY65" si="103">INDEX(MO_CFSum_Dividend,0,COLUMN())</f>
        <v>-48.793000000000006</v>
      </c>
      <c r="AJ65" s="1080">
        <f t="shared" si="103"/>
        <v>-227.304</v>
      </c>
      <c r="AK65" s="1081">
        <f t="shared" si="103"/>
        <v>-85.257000000000005</v>
      </c>
      <c r="AL65" s="1081">
        <f t="shared" si="103"/>
        <v>-63.501999999999981</v>
      </c>
      <c r="AM65" s="1081">
        <f t="shared" si="103"/>
        <v>-62.241000000000014</v>
      </c>
      <c r="AN65" s="1081">
        <f t="shared" si="103"/>
        <v>-100</v>
      </c>
      <c r="AO65" s="1080">
        <f t="shared" si="103"/>
        <v>-311</v>
      </c>
      <c r="AP65" s="1081">
        <f t="shared" si="103"/>
        <v>-67</v>
      </c>
      <c r="AQ65" s="1081">
        <f t="shared" si="103"/>
        <v>-43</v>
      </c>
      <c r="AR65" s="1081">
        <f>INDEX(MO_CFSum_Dividend,0,COLUMN())</f>
        <v>-53</v>
      </c>
      <c r="AS65" s="1081">
        <f>INDEX(MO_CFSum_Dividend,0,COLUMN())</f>
        <v>-45</v>
      </c>
      <c r="AT65" s="1080">
        <f>INDEX(MO_CFSum_Dividend,0,COLUMN())</f>
        <v>-208</v>
      </c>
      <c r="AU65" s="1081">
        <f t="shared" si="103"/>
        <v>-32</v>
      </c>
      <c r="AV65" s="1081">
        <f>INDEX(MO_CFSum_Dividend,0,COLUMN())</f>
        <v>-33</v>
      </c>
      <c r="AW65" s="1082">
        <f>INDEX(MO_CFSum_Dividend,0,COLUMN())</f>
        <v>-43</v>
      </c>
      <c r="AX65" s="1081">
        <f t="shared" ca="1" si="103"/>
        <v>-40</v>
      </c>
      <c r="AY65" s="1080">
        <f t="shared" ca="1" si="103"/>
        <v>-148</v>
      </c>
      <c r="AZ65" s="1081">
        <f t="shared" ref="AZ65:BG65" ca="1" si="104">INDEX(MO_CFSum_Dividend,0,COLUMN())</f>
        <v>-40</v>
      </c>
      <c r="BA65" s="1081">
        <f t="shared" ca="1" si="104"/>
        <v>-40</v>
      </c>
      <c r="BB65" s="1081">
        <f t="shared" ca="1" si="104"/>
        <v>-40</v>
      </c>
      <c r="BC65" s="1081">
        <f t="shared" ca="1" si="104"/>
        <v>-40</v>
      </c>
      <c r="BD65" s="1080">
        <f t="shared" ca="1" si="104"/>
        <v>-160</v>
      </c>
      <c r="BE65" s="1080">
        <f t="shared" ca="1" si="104"/>
        <v>-160</v>
      </c>
      <c r="BF65" s="1080">
        <f t="shared" ca="1" si="104"/>
        <v>-160</v>
      </c>
      <c r="BG65" s="1080">
        <f t="shared" ca="1" si="104"/>
        <v>-160</v>
      </c>
      <c r="BH65" s="1030"/>
    </row>
    <row r="66" spans="1:60" s="76" customFormat="1" ht="15" customHeight="1" x14ac:dyDescent="0.25">
      <c r="A66" s="329" t="s">
        <v>391</v>
      </c>
      <c r="B66" s="330"/>
      <c r="C66" s="1083">
        <f t="shared" ref="C66:AH66" si="105">SUM(C64:C65)</f>
        <v>-55.166000000000004</v>
      </c>
      <c r="D66" s="1083">
        <f t="shared" si="105"/>
        <v>-156.77100000000002</v>
      </c>
      <c r="E66" s="1083">
        <f t="shared" si="105"/>
        <v>-387.48799999999994</v>
      </c>
      <c r="F66" s="1083">
        <f t="shared" si="105"/>
        <v>-548.12800000000016</v>
      </c>
      <c r="G66" s="1084">
        <f t="shared" si="105"/>
        <v>-22.530999999999992</v>
      </c>
      <c r="H66" s="1084">
        <f t="shared" si="105"/>
        <v>-13.396000000000011</v>
      </c>
      <c r="I66" s="1084">
        <f t="shared" si="105"/>
        <v>-59.567999999999977</v>
      </c>
      <c r="J66" s="1084">
        <f t="shared" si="105"/>
        <v>-52.88300000000001</v>
      </c>
      <c r="K66" s="1083">
        <f t="shared" si="105"/>
        <v>-148.37799999999999</v>
      </c>
      <c r="L66" s="1084">
        <f t="shared" si="105"/>
        <v>-99.135000000000005</v>
      </c>
      <c r="M66" s="1084">
        <f t="shared" si="105"/>
        <v>-112.10199999999998</v>
      </c>
      <c r="N66" s="1084">
        <f t="shared" si="105"/>
        <v>-217.48600000000005</v>
      </c>
      <c r="O66" s="1084">
        <f t="shared" si="105"/>
        <v>-341.67399999999998</v>
      </c>
      <c r="P66" s="1083">
        <f t="shared" si="105"/>
        <v>-770.39699999999993</v>
      </c>
      <c r="Q66" s="1084">
        <f t="shared" si="105"/>
        <v>-402.66900000000004</v>
      </c>
      <c r="R66" s="1084">
        <f t="shared" si="105"/>
        <v>-434.63</v>
      </c>
      <c r="S66" s="1084">
        <f t="shared" si="105"/>
        <v>-403.29599999999982</v>
      </c>
      <c r="T66" s="1084">
        <f t="shared" si="105"/>
        <v>-425.46500000000009</v>
      </c>
      <c r="U66" s="1083">
        <f t="shared" si="105"/>
        <v>-1666.06</v>
      </c>
      <c r="V66" s="1084">
        <f t="shared" si="105"/>
        <v>-195.435</v>
      </c>
      <c r="W66" s="1084">
        <f t="shared" si="105"/>
        <v>-303.86800000000005</v>
      </c>
      <c r="X66" s="1084">
        <f t="shared" si="105"/>
        <v>211.75899999999996</v>
      </c>
      <c r="Y66" s="1084">
        <f t="shared" si="105"/>
        <v>-582.89499999999975</v>
      </c>
      <c r="Z66" s="1083">
        <f t="shared" si="105"/>
        <v>-870.43899999999996</v>
      </c>
      <c r="AA66" s="1084">
        <f t="shared" si="105"/>
        <v>-643.29900000000009</v>
      </c>
      <c r="AB66" s="1084">
        <f t="shared" si="105"/>
        <v>-937.16800000000001</v>
      </c>
      <c r="AC66" s="1084">
        <f t="shared" si="105"/>
        <v>-1362.3630000000005</v>
      </c>
      <c r="AD66" s="1084">
        <f t="shared" si="105"/>
        <v>-964.41899999999964</v>
      </c>
      <c r="AE66" s="1083">
        <f t="shared" si="105"/>
        <v>-3907.2489999999998</v>
      </c>
      <c r="AF66" s="1084">
        <f t="shared" si="105"/>
        <v>-854.529</v>
      </c>
      <c r="AG66" s="1084">
        <f t="shared" si="105"/>
        <v>-696.49099999999987</v>
      </c>
      <c r="AH66" s="1084">
        <f t="shared" si="105"/>
        <v>411.23199999999997</v>
      </c>
      <c r="AI66" s="1084">
        <f t="shared" ref="AI66:AY66" si="106">SUM(AI64:AI65)</f>
        <v>632.81899999999962</v>
      </c>
      <c r="AJ66" s="1083">
        <f t="shared" si="106"/>
        <v>-506.96900000000039</v>
      </c>
      <c r="AK66" s="1084">
        <f t="shared" si="106"/>
        <v>-353.95500000000004</v>
      </c>
      <c r="AL66" s="1084">
        <f t="shared" si="106"/>
        <v>239.74899999999994</v>
      </c>
      <c r="AM66" s="1084">
        <f t="shared" si="106"/>
        <v>475.20600000000013</v>
      </c>
      <c r="AN66" s="1084">
        <f t="shared" si="106"/>
        <v>645</v>
      </c>
      <c r="AO66" s="1083">
        <f t="shared" si="106"/>
        <v>1006</v>
      </c>
      <c r="AP66" s="1084">
        <f t="shared" si="106"/>
        <v>459</v>
      </c>
      <c r="AQ66" s="1084">
        <f t="shared" si="106"/>
        <v>601</v>
      </c>
      <c r="AR66" s="1084">
        <f>SUM(AR64:AR65)</f>
        <v>686</v>
      </c>
      <c r="AS66" s="1084">
        <f>SUM(AS64:AS65)</f>
        <v>563</v>
      </c>
      <c r="AT66" s="1083">
        <f>SUM(AT64:AT65)</f>
        <v>2309</v>
      </c>
      <c r="AU66" s="1084">
        <f t="shared" ref="AU66" si="107">SUM(AU64:AU65)</f>
        <v>261</v>
      </c>
      <c r="AV66" s="1084">
        <f>SUM(AV64:AV65)</f>
        <v>900</v>
      </c>
      <c r="AW66" s="1085">
        <f>SUM(AW64:AW65)</f>
        <v>1280</v>
      </c>
      <c r="AX66" s="1084">
        <f t="shared" ca="1" si="106"/>
        <v>1642.4154390238041</v>
      </c>
      <c r="AY66" s="1083">
        <f t="shared" ca="1" si="106"/>
        <v>4083.4154390238036</v>
      </c>
      <c r="AZ66" s="1084">
        <f t="shared" ref="AZ66:BG66" ca="1" si="108">SUM(AZ64:AZ65)</f>
        <v>2011.9556413243135</v>
      </c>
      <c r="BA66" s="1084">
        <f t="shared" ca="1" si="108"/>
        <v>2405.783307658357</v>
      </c>
      <c r="BB66" s="1084">
        <f t="shared" ca="1" si="108"/>
        <v>3330.6740736682104</v>
      </c>
      <c r="BC66" s="1084">
        <f t="shared" ca="1" si="108"/>
        <v>3276.3353086416855</v>
      </c>
      <c r="BD66" s="1083">
        <f t="shared" ca="1" si="108"/>
        <v>11024.748331292569</v>
      </c>
      <c r="BE66" s="1083">
        <f t="shared" ca="1" si="108"/>
        <v>14379.851790473938</v>
      </c>
      <c r="BF66" s="1083">
        <f t="shared" ca="1" si="108"/>
        <v>18439.208737247034</v>
      </c>
      <c r="BG66" s="1083">
        <f t="shared" ca="1" si="108"/>
        <v>23165.721244325301</v>
      </c>
      <c r="BH66" s="1032"/>
    </row>
    <row r="67" spans="1:60" s="75" customFormat="1" ht="15" customHeight="1" x14ac:dyDescent="0.25">
      <c r="A67" s="327" t="str">
        <f>INDEX(MO_CFSum_Acquisition,0,COLUMN())</f>
        <v>Acquisitions</v>
      </c>
      <c r="B67" s="328"/>
      <c r="C67" s="1086">
        <f t="shared" ref="C67:AH67" si="109">INDEX(MO_CFSum_Acquisition,0,COLUMN())</f>
        <v>0</v>
      </c>
      <c r="D67" s="1086">
        <f t="shared" si="109"/>
        <v>-65.209999999999994</v>
      </c>
      <c r="E67" s="1086">
        <f t="shared" si="109"/>
        <v>0</v>
      </c>
      <c r="F67" s="1086">
        <f t="shared" si="109"/>
        <v>0</v>
      </c>
      <c r="G67" s="1087">
        <f t="shared" si="109"/>
        <v>0</v>
      </c>
      <c r="H67" s="1087">
        <f t="shared" si="109"/>
        <v>0</v>
      </c>
      <c r="I67" s="1087">
        <f t="shared" si="109"/>
        <v>0</v>
      </c>
      <c r="J67" s="1087">
        <f t="shared" si="109"/>
        <v>0</v>
      </c>
      <c r="K67" s="1086">
        <f t="shared" si="109"/>
        <v>0</v>
      </c>
      <c r="L67" s="1087">
        <f t="shared" si="109"/>
        <v>0</v>
      </c>
      <c r="M67" s="1087">
        <f t="shared" si="109"/>
        <v>0</v>
      </c>
      <c r="N67" s="1087">
        <f t="shared" si="109"/>
        <v>0</v>
      </c>
      <c r="O67" s="1087">
        <f t="shared" si="109"/>
        <v>0</v>
      </c>
      <c r="P67" s="1086">
        <f t="shared" si="109"/>
        <v>0</v>
      </c>
      <c r="Q67" s="1087">
        <f t="shared" si="109"/>
        <v>0</v>
      </c>
      <c r="R67" s="1087">
        <f t="shared" si="109"/>
        <v>-12.26</v>
      </c>
      <c r="S67" s="1087">
        <f t="shared" si="109"/>
        <v>0</v>
      </c>
      <c r="T67" s="1087">
        <f t="shared" si="109"/>
        <v>0</v>
      </c>
      <c r="U67" s="1086">
        <f t="shared" si="109"/>
        <v>-12.26</v>
      </c>
      <c r="V67" s="1087">
        <f t="shared" si="109"/>
        <v>0</v>
      </c>
      <c r="W67" s="1087">
        <f t="shared" si="109"/>
        <v>0</v>
      </c>
      <c r="X67" s="1087">
        <f t="shared" si="109"/>
        <v>0</v>
      </c>
      <c r="Y67" s="1087">
        <f t="shared" si="109"/>
        <v>213.523</v>
      </c>
      <c r="Z67" s="1086">
        <f t="shared" si="109"/>
        <v>213.523</v>
      </c>
      <c r="AA67" s="1087">
        <f t="shared" si="109"/>
        <v>-109.14700000000001</v>
      </c>
      <c r="AB67" s="1087">
        <f t="shared" si="109"/>
        <v>0</v>
      </c>
      <c r="AC67" s="1087">
        <f t="shared" si="109"/>
        <v>0</v>
      </c>
      <c r="AD67" s="1087">
        <f t="shared" si="109"/>
        <v>-5.3759999999999906</v>
      </c>
      <c r="AE67" s="1086">
        <f t="shared" si="109"/>
        <v>-114.523</v>
      </c>
      <c r="AF67" s="1087">
        <f t="shared" si="109"/>
        <v>0</v>
      </c>
      <c r="AG67" s="1087">
        <f t="shared" si="109"/>
        <v>-5.6040000000000001</v>
      </c>
      <c r="AH67" s="1087">
        <f t="shared" si="109"/>
        <v>-1.2000000000000002</v>
      </c>
      <c r="AI67" s="1087">
        <f t="shared" ref="AI67:AY67" si="110">INDEX(MO_CFSum_Acquisition,0,COLUMN())</f>
        <v>-11.107999999999999</v>
      </c>
      <c r="AJ67" s="1086">
        <f t="shared" si="110"/>
        <v>-17.911999999999999</v>
      </c>
      <c r="AK67" s="1087">
        <f t="shared" si="110"/>
        <v>-0.65</v>
      </c>
      <c r="AL67" s="1087">
        <f t="shared" si="110"/>
        <v>31.661999999999999</v>
      </c>
      <c r="AM67" s="1087">
        <f t="shared" si="110"/>
        <v>-76.012</v>
      </c>
      <c r="AN67" s="1087">
        <f t="shared" si="110"/>
        <v>0</v>
      </c>
      <c r="AO67" s="1086">
        <f t="shared" si="110"/>
        <v>-45</v>
      </c>
      <c r="AP67" s="1087">
        <f t="shared" si="110"/>
        <v>0</v>
      </c>
      <c r="AQ67" s="1087">
        <f t="shared" si="110"/>
        <v>0</v>
      </c>
      <c r="AR67" s="1087">
        <f>INDEX(MO_CFSum_Acquisition,0,COLUMN())</f>
        <v>-13</v>
      </c>
      <c r="AS67" s="1087">
        <f>INDEX(MO_CFSum_Acquisition,0,COLUMN())</f>
        <v>0</v>
      </c>
      <c r="AT67" s="1086">
        <f>INDEX(MO_CFSum_Acquisition,0,COLUMN())</f>
        <v>-13</v>
      </c>
      <c r="AU67" s="1087">
        <f t="shared" si="110"/>
        <v>0</v>
      </c>
      <c r="AV67" s="1087">
        <f>INDEX(MO_CFSum_Acquisition,0,COLUMN())</f>
        <v>0</v>
      </c>
      <c r="AW67" s="1088">
        <f>INDEX(MO_CFSum_Acquisition,0,COLUMN())</f>
        <v>0</v>
      </c>
      <c r="AX67" s="1087">
        <f t="shared" si="110"/>
        <v>0</v>
      </c>
      <c r="AY67" s="1086">
        <f t="shared" si="110"/>
        <v>0</v>
      </c>
      <c r="AZ67" s="1087">
        <f t="shared" ref="AZ67:BG67" si="111">INDEX(MO_CFSum_Acquisition,0,COLUMN())</f>
        <v>0</v>
      </c>
      <c r="BA67" s="1087">
        <f t="shared" si="111"/>
        <v>0</v>
      </c>
      <c r="BB67" s="1087">
        <f t="shared" si="111"/>
        <v>0</v>
      </c>
      <c r="BC67" s="1087">
        <f t="shared" si="111"/>
        <v>0</v>
      </c>
      <c r="BD67" s="1086">
        <f t="shared" si="111"/>
        <v>0</v>
      </c>
      <c r="BE67" s="1086">
        <f t="shared" si="111"/>
        <v>0</v>
      </c>
      <c r="BF67" s="1086">
        <f t="shared" si="111"/>
        <v>0</v>
      </c>
      <c r="BG67" s="1086">
        <f t="shared" si="111"/>
        <v>0</v>
      </c>
      <c r="BH67" s="1030"/>
    </row>
    <row r="68" spans="1:60" s="75" customFormat="1" ht="15" customHeight="1" x14ac:dyDescent="0.25">
      <c r="A68" s="327" t="str">
        <f>INDEX(MO_CFSum_Divestiture,0,COLUMN())</f>
        <v>Divestiture</v>
      </c>
      <c r="B68" s="328"/>
      <c r="C68" s="1086">
        <f t="shared" ref="C68:AH68" si="112">INDEX(MO_CFSum_Divestiture,0,COLUMN())</f>
        <v>0</v>
      </c>
      <c r="D68" s="1086">
        <f t="shared" si="112"/>
        <v>0</v>
      </c>
      <c r="E68" s="1086">
        <f t="shared" si="112"/>
        <v>0</v>
      </c>
      <c r="F68" s="1086">
        <f t="shared" si="112"/>
        <v>0</v>
      </c>
      <c r="G68" s="1087">
        <f t="shared" si="112"/>
        <v>0</v>
      </c>
      <c r="H68" s="1087">
        <f t="shared" si="112"/>
        <v>0</v>
      </c>
      <c r="I68" s="1087">
        <f t="shared" si="112"/>
        <v>0</v>
      </c>
      <c r="J68" s="1087">
        <f t="shared" si="112"/>
        <v>0</v>
      </c>
      <c r="K68" s="1086">
        <f t="shared" si="112"/>
        <v>0</v>
      </c>
      <c r="L68" s="1087">
        <f t="shared" si="112"/>
        <v>0</v>
      </c>
      <c r="M68" s="1087">
        <f t="shared" si="112"/>
        <v>0</v>
      </c>
      <c r="N68" s="1087">
        <f t="shared" si="112"/>
        <v>0</v>
      </c>
      <c r="O68" s="1087">
        <f t="shared" si="112"/>
        <v>0</v>
      </c>
      <c r="P68" s="1086">
        <f t="shared" si="112"/>
        <v>0</v>
      </c>
      <c r="Q68" s="1087">
        <f t="shared" si="112"/>
        <v>0</v>
      </c>
      <c r="R68" s="1087">
        <f t="shared" si="112"/>
        <v>0</v>
      </c>
      <c r="S68" s="1087">
        <f t="shared" si="112"/>
        <v>0</v>
      </c>
      <c r="T68" s="1087">
        <f t="shared" si="112"/>
        <v>0</v>
      </c>
      <c r="U68" s="1086">
        <f t="shared" si="112"/>
        <v>0</v>
      </c>
      <c r="V68" s="1087">
        <f t="shared" si="112"/>
        <v>0</v>
      </c>
      <c r="W68" s="1087">
        <f t="shared" si="112"/>
        <v>0</v>
      </c>
      <c r="X68" s="1087">
        <f t="shared" si="112"/>
        <v>0</v>
      </c>
      <c r="Y68" s="1087">
        <f t="shared" si="112"/>
        <v>0</v>
      </c>
      <c r="Z68" s="1086">
        <f t="shared" si="112"/>
        <v>0</v>
      </c>
      <c r="AA68" s="1087">
        <f t="shared" si="112"/>
        <v>0</v>
      </c>
      <c r="AB68" s="1087">
        <f t="shared" si="112"/>
        <v>0</v>
      </c>
      <c r="AC68" s="1087">
        <f t="shared" si="112"/>
        <v>0</v>
      </c>
      <c r="AD68" s="1087">
        <f t="shared" si="112"/>
        <v>0</v>
      </c>
      <c r="AE68" s="1086">
        <f t="shared" si="112"/>
        <v>0</v>
      </c>
      <c r="AF68" s="1087">
        <f t="shared" si="112"/>
        <v>0</v>
      </c>
      <c r="AG68" s="1087">
        <f t="shared" si="112"/>
        <v>0</v>
      </c>
      <c r="AH68" s="1087">
        <f t="shared" si="112"/>
        <v>0</v>
      </c>
      <c r="AI68" s="1087">
        <f t="shared" ref="AI68:AY68" si="113">INDEX(MO_CFSum_Divestiture,0,COLUMN())</f>
        <v>0</v>
      </c>
      <c r="AJ68" s="1086">
        <f t="shared" si="113"/>
        <v>0</v>
      </c>
      <c r="AK68" s="1087">
        <f t="shared" si="113"/>
        <v>0</v>
      </c>
      <c r="AL68" s="1087">
        <f t="shared" si="113"/>
        <v>0</v>
      </c>
      <c r="AM68" s="1087">
        <f t="shared" si="113"/>
        <v>0</v>
      </c>
      <c r="AN68" s="1087">
        <f t="shared" si="113"/>
        <v>0</v>
      </c>
      <c r="AO68" s="1086">
        <f t="shared" si="113"/>
        <v>0</v>
      </c>
      <c r="AP68" s="1087">
        <f t="shared" si="113"/>
        <v>0</v>
      </c>
      <c r="AQ68" s="1087">
        <f t="shared" si="113"/>
        <v>0</v>
      </c>
      <c r="AR68" s="1087">
        <f>INDEX(MO_CFSum_Divestiture,0,COLUMN())</f>
        <v>0</v>
      </c>
      <c r="AS68" s="1087">
        <f>INDEX(MO_CFSum_Divestiture,0,COLUMN())</f>
        <v>0</v>
      </c>
      <c r="AT68" s="1086">
        <f>INDEX(MO_CFSum_Divestiture,0,COLUMN())</f>
        <v>0</v>
      </c>
      <c r="AU68" s="1087">
        <f t="shared" si="113"/>
        <v>0</v>
      </c>
      <c r="AV68" s="1087">
        <f>INDEX(MO_CFSum_Divestiture,0,COLUMN())</f>
        <v>0</v>
      </c>
      <c r="AW68" s="1088">
        <f>INDEX(MO_CFSum_Divestiture,0,COLUMN())</f>
        <v>0</v>
      </c>
      <c r="AX68" s="1087">
        <f t="shared" si="113"/>
        <v>0</v>
      </c>
      <c r="AY68" s="1086">
        <f t="shared" si="113"/>
        <v>0</v>
      </c>
      <c r="AZ68" s="1087">
        <f t="shared" ref="AZ68:BG68" si="114">INDEX(MO_CFSum_Divestiture,0,COLUMN())</f>
        <v>0</v>
      </c>
      <c r="BA68" s="1087">
        <f t="shared" si="114"/>
        <v>0</v>
      </c>
      <c r="BB68" s="1087">
        <f t="shared" si="114"/>
        <v>0</v>
      </c>
      <c r="BC68" s="1087">
        <f t="shared" si="114"/>
        <v>0</v>
      </c>
      <c r="BD68" s="1086">
        <f t="shared" si="114"/>
        <v>0</v>
      </c>
      <c r="BE68" s="1086">
        <f t="shared" si="114"/>
        <v>0</v>
      </c>
      <c r="BF68" s="1086">
        <f t="shared" si="114"/>
        <v>0</v>
      </c>
      <c r="BG68" s="1086">
        <f t="shared" si="114"/>
        <v>0</v>
      </c>
      <c r="BH68" s="1030"/>
    </row>
    <row r="69" spans="1:60" s="75" customFormat="1" ht="15" customHeight="1" x14ac:dyDescent="0.25">
      <c r="A69" s="327" t="s">
        <v>392</v>
      </c>
      <c r="B69" s="328"/>
      <c r="C69" s="1086">
        <f t="shared" ref="C69:AH69" si="115">INDEX(MO_CFS_CFO,0,COLUMN())-INDEX(MO_CFS_CFO_BeforeWC,0,COLUMN())</f>
        <v>-37.543000000000013</v>
      </c>
      <c r="D69" s="1086">
        <f t="shared" si="115"/>
        <v>-11.174999999999997</v>
      </c>
      <c r="E69" s="1086">
        <f t="shared" si="115"/>
        <v>75.228000000000009</v>
      </c>
      <c r="F69" s="1086">
        <f t="shared" si="115"/>
        <v>42.819000000000017</v>
      </c>
      <c r="G69" s="1087">
        <f t="shared" si="115"/>
        <v>28.883000000000003</v>
      </c>
      <c r="H69" s="1087">
        <f t="shared" si="115"/>
        <v>-62.417000000000016</v>
      </c>
      <c r="I69" s="1087">
        <f t="shared" si="115"/>
        <v>85.056000000000012</v>
      </c>
      <c r="J69" s="1087">
        <f t="shared" si="115"/>
        <v>97.436000000000035</v>
      </c>
      <c r="K69" s="1086">
        <f t="shared" si="115"/>
        <v>148.95800000000003</v>
      </c>
      <c r="L69" s="1087">
        <f t="shared" si="115"/>
        <v>16.494</v>
      </c>
      <c r="M69" s="1087">
        <f t="shared" si="115"/>
        <v>-65.245000000000019</v>
      </c>
      <c r="N69" s="1087">
        <f t="shared" si="115"/>
        <v>-94.684999999999988</v>
      </c>
      <c r="O69" s="1087">
        <f t="shared" si="115"/>
        <v>-113.38899999999988</v>
      </c>
      <c r="P69" s="1086">
        <f t="shared" si="115"/>
        <v>-256.8249999999997</v>
      </c>
      <c r="Q69" s="1087">
        <f t="shared" si="115"/>
        <v>-155.18500000000006</v>
      </c>
      <c r="R69" s="1087">
        <f t="shared" si="115"/>
        <v>-130.0510000000001</v>
      </c>
      <c r="S69" s="1087">
        <f t="shared" si="115"/>
        <v>-192.44700000000012</v>
      </c>
      <c r="T69" s="1087">
        <f t="shared" si="115"/>
        <v>-15.605999999999813</v>
      </c>
      <c r="U69" s="1086">
        <f t="shared" si="115"/>
        <v>-493.28899999999993</v>
      </c>
      <c r="V69" s="1087">
        <f t="shared" si="115"/>
        <v>-271.02900000000005</v>
      </c>
      <c r="W69" s="1087">
        <f t="shared" si="115"/>
        <v>159.48400000000004</v>
      </c>
      <c r="X69" s="1087">
        <f t="shared" si="115"/>
        <v>-35.720999999999833</v>
      </c>
      <c r="Y69" s="1087">
        <f t="shared" si="115"/>
        <v>-546.59500000000025</v>
      </c>
      <c r="Z69" s="1086">
        <f t="shared" si="115"/>
        <v>-693.8610000000001</v>
      </c>
      <c r="AA69" s="1087">
        <f t="shared" si="115"/>
        <v>-262.78000000000003</v>
      </c>
      <c r="AB69" s="1087">
        <f t="shared" si="115"/>
        <v>-481.09300000000007</v>
      </c>
      <c r="AC69" s="1087">
        <f t="shared" si="115"/>
        <v>-249.76800000000017</v>
      </c>
      <c r="AD69" s="1087">
        <f t="shared" si="115"/>
        <v>497.03800000000007</v>
      </c>
      <c r="AE69" s="1086">
        <f t="shared" si="115"/>
        <v>-496.60299999999984</v>
      </c>
      <c r="AF69" s="1087">
        <f t="shared" si="115"/>
        <v>-325.42599999999999</v>
      </c>
      <c r="AG69" s="1087">
        <f t="shared" si="115"/>
        <v>-166.98900000000006</v>
      </c>
      <c r="AH69" s="1087">
        <f t="shared" si="115"/>
        <v>351.31800000000021</v>
      </c>
      <c r="AI69" s="1087">
        <f t="shared" ref="AI69:BG69" si="116">INDEX(MO_CFS_CFO,0,COLUMN())-INDEX(MO_CFS_CFO_BeforeWC,0,COLUMN())</f>
        <v>199.048</v>
      </c>
      <c r="AJ69" s="1086">
        <f t="shared" si="116"/>
        <v>57.951000000000022</v>
      </c>
      <c r="AK69" s="1087">
        <f t="shared" si="116"/>
        <v>-676.10100000000011</v>
      </c>
      <c r="AL69" s="1087">
        <f t="shared" si="116"/>
        <v>287.14800000000014</v>
      </c>
      <c r="AM69" s="1087">
        <f t="shared" si="116"/>
        <v>-191.04699999999991</v>
      </c>
      <c r="AN69" s="1087">
        <f t="shared" si="116"/>
        <v>231</v>
      </c>
      <c r="AO69" s="1086">
        <f t="shared" si="116"/>
        <v>-349</v>
      </c>
      <c r="AP69" s="1087">
        <f t="shared" si="116"/>
        <v>-1447</v>
      </c>
      <c r="AQ69" s="1087">
        <f t="shared" si="116"/>
        <v>-246</v>
      </c>
      <c r="AR69" s="1087">
        <f t="shared" si="116"/>
        <v>635</v>
      </c>
      <c r="AS69" s="1087">
        <f t="shared" si="116"/>
        <v>1242</v>
      </c>
      <c r="AT69" s="1086">
        <f t="shared" si="116"/>
        <v>184</v>
      </c>
      <c r="AU69" s="1087">
        <f t="shared" si="116"/>
        <v>-12</v>
      </c>
      <c r="AV69" s="1087">
        <f t="shared" si="116"/>
        <v>-324</v>
      </c>
      <c r="AW69" s="1088">
        <f>INDEX(MO_CFS_CFO,0,COLUMN())-INDEX(MO_CFS_CFO_BeforeWC,0,COLUMN())</f>
        <v>-1</v>
      </c>
      <c r="AX69" s="1087">
        <f t="shared" si="116"/>
        <v>-482.34488153416851</v>
      </c>
      <c r="AY69" s="1086">
        <f t="shared" si="116"/>
        <v>-819.34488153416714</v>
      </c>
      <c r="AZ69" s="1087">
        <f t="shared" ca="1" si="116"/>
        <v>301.00544115906496</v>
      </c>
      <c r="BA69" s="1087">
        <f t="shared" ca="1" si="116"/>
        <v>447.04700666762301</v>
      </c>
      <c r="BB69" s="1087">
        <f t="shared" ca="1" si="116"/>
        <v>2333.2878838682982</v>
      </c>
      <c r="BC69" s="1087">
        <f t="shared" ca="1" si="116"/>
        <v>-452.94009424046726</v>
      </c>
      <c r="BD69" s="1086">
        <f t="shared" ca="1" si="116"/>
        <v>2628.4002374545162</v>
      </c>
      <c r="BE69" s="1086">
        <f t="shared" ca="1" si="116"/>
        <v>-1989.5524127400022</v>
      </c>
      <c r="BF69" s="1086">
        <f t="shared" ca="1" si="116"/>
        <v>-1859.8926522717156</v>
      </c>
      <c r="BG69" s="1086">
        <f t="shared" ca="1" si="116"/>
        <v>-1673.7506790252155</v>
      </c>
      <c r="BH69" s="1030"/>
    </row>
    <row r="70" spans="1:60" s="75" customFormat="1" ht="15" customHeight="1" x14ac:dyDescent="0.25">
      <c r="A70" s="327" t="s">
        <v>393</v>
      </c>
      <c r="B70" s="328"/>
      <c r="C70" s="1086">
        <f t="shared" ref="C70:AH70" si="117">INDEX(MO_CFSum_NetShares,0,COLUMN())</f>
        <v>132.31900000000002</v>
      </c>
      <c r="D70" s="1086">
        <f t="shared" si="117"/>
        <v>270.19200000000001</v>
      </c>
      <c r="E70" s="1086">
        <f t="shared" si="117"/>
        <v>241.99299999999999</v>
      </c>
      <c r="F70" s="1086">
        <f t="shared" si="117"/>
        <v>246.381</v>
      </c>
      <c r="G70" s="1087">
        <f t="shared" si="117"/>
        <v>17.902999999999999</v>
      </c>
      <c r="H70" s="1087">
        <f t="shared" si="117"/>
        <v>572.50599999999997</v>
      </c>
      <c r="I70" s="1087">
        <f t="shared" si="117"/>
        <v>27.127999999999993</v>
      </c>
      <c r="J70" s="1087">
        <f t="shared" si="117"/>
        <v>13.088000000000008</v>
      </c>
      <c r="K70" s="1086">
        <f t="shared" si="117"/>
        <v>630.625</v>
      </c>
      <c r="L70" s="1087">
        <f t="shared" si="117"/>
        <v>374.12599999999998</v>
      </c>
      <c r="M70" s="1087">
        <f t="shared" si="117"/>
        <v>68.149000000000058</v>
      </c>
      <c r="N70" s="1087">
        <f t="shared" si="117"/>
        <v>36.809999999999995</v>
      </c>
      <c r="O70" s="1087">
        <f t="shared" si="117"/>
        <v>10.530000000000001</v>
      </c>
      <c r="P70" s="1086">
        <f t="shared" si="117"/>
        <v>489.61500000000001</v>
      </c>
      <c r="Q70" s="1087">
        <f t="shared" si="117"/>
        <v>35.218000000000004</v>
      </c>
      <c r="R70" s="1087">
        <f t="shared" si="117"/>
        <v>23.652999999999999</v>
      </c>
      <c r="S70" s="1087">
        <f t="shared" si="117"/>
        <v>785.15499999999997</v>
      </c>
      <c r="T70" s="1087">
        <f t="shared" si="117"/>
        <v>12.585000000000008</v>
      </c>
      <c r="U70" s="1086">
        <f t="shared" si="117"/>
        <v>856.61099999999999</v>
      </c>
      <c r="V70" s="1087">
        <f t="shared" si="117"/>
        <v>52.838000000000001</v>
      </c>
      <c r="W70" s="1087">
        <f t="shared" si="117"/>
        <v>1759.374</v>
      </c>
      <c r="X70" s="1087">
        <f t="shared" si="117"/>
        <v>42.983000000000018</v>
      </c>
      <c r="Y70" s="1087">
        <f t="shared" si="117"/>
        <v>10.355999999999995</v>
      </c>
      <c r="Z70" s="1086">
        <f t="shared" si="117"/>
        <v>1865.5509999999999</v>
      </c>
      <c r="AA70" s="1087">
        <f t="shared" si="117"/>
        <v>-180.57999999999998</v>
      </c>
      <c r="AB70" s="1087">
        <f t="shared" si="117"/>
        <v>584.35800000000006</v>
      </c>
      <c r="AC70" s="1087">
        <f t="shared" si="117"/>
        <v>69.069999999999993</v>
      </c>
      <c r="AD70" s="1087">
        <f t="shared" si="117"/>
        <v>8.9410000000000025</v>
      </c>
      <c r="AE70" s="1086">
        <f t="shared" si="117"/>
        <v>481.78899999999999</v>
      </c>
      <c r="AF70" s="1087">
        <f t="shared" si="117"/>
        <v>1869.499</v>
      </c>
      <c r="AG70" s="1087">
        <f t="shared" si="117"/>
        <v>-1744.4279999999999</v>
      </c>
      <c r="AH70" s="1087">
        <f t="shared" si="117"/>
        <v>94.869</v>
      </c>
      <c r="AI70" s="1087">
        <f t="shared" ref="AI70:AY70" si="118">INDEX(MO_CFSum_NetShares,0,COLUMN())</f>
        <v>75.770999999999987</v>
      </c>
      <c r="AJ70" s="1086">
        <f t="shared" si="118"/>
        <v>295.71099999999996</v>
      </c>
      <c r="AK70" s="1087">
        <f t="shared" si="118"/>
        <v>77.953000000000003</v>
      </c>
      <c r="AL70" s="1087">
        <f t="shared" si="118"/>
        <v>1040.2959999999998</v>
      </c>
      <c r="AM70" s="1087">
        <f t="shared" si="118"/>
        <v>70.751000000000047</v>
      </c>
      <c r="AN70" s="1087">
        <f t="shared" si="118"/>
        <v>96</v>
      </c>
      <c r="AO70" s="1086">
        <f t="shared" si="118"/>
        <v>1285</v>
      </c>
      <c r="AP70" s="1087">
        <f t="shared" si="118"/>
        <v>2469</v>
      </c>
      <c r="AQ70" s="1087">
        <f t="shared" si="118"/>
        <v>57</v>
      </c>
      <c r="AR70" s="1087">
        <f>INDEX(MO_CFSum_NetShares,0,COLUMN())</f>
        <v>5117</v>
      </c>
      <c r="AS70" s="1087">
        <f>INDEX(MO_CFSum_NetShares,0,COLUMN())</f>
        <v>5043</v>
      </c>
      <c r="AT70" s="1086">
        <f>INDEX(MO_CFSum_NetShares,0,COLUMN())</f>
        <v>12686</v>
      </c>
      <c r="AU70" s="1087">
        <f t="shared" si="118"/>
        <v>183</v>
      </c>
      <c r="AV70" s="1087">
        <f>INDEX(MO_CFSum_NetShares,0,COLUMN())</f>
        <v>70</v>
      </c>
      <c r="AW70" s="1088">
        <f>INDEX(MO_CFSum_NetShares,0,COLUMN())</f>
        <v>192</v>
      </c>
      <c r="AX70" s="1087">
        <f t="shared" si="118"/>
        <v>0</v>
      </c>
      <c r="AY70" s="1086">
        <f t="shared" si="118"/>
        <v>445</v>
      </c>
      <c r="AZ70" s="1087">
        <f t="shared" ref="AZ70:BG70" si="119">INDEX(MO_CFSum_NetShares,0,COLUMN())</f>
        <v>0</v>
      </c>
      <c r="BA70" s="1087">
        <f t="shared" si="119"/>
        <v>0</v>
      </c>
      <c r="BB70" s="1087">
        <f t="shared" si="119"/>
        <v>0</v>
      </c>
      <c r="BC70" s="1087">
        <f t="shared" si="119"/>
        <v>0</v>
      </c>
      <c r="BD70" s="1086">
        <f t="shared" si="119"/>
        <v>0</v>
      </c>
      <c r="BE70" s="1086">
        <f t="shared" si="119"/>
        <v>0</v>
      </c>
      <c r="BF70" s="1086">
        <f t="shared" si="119"/>
        <v>0</v>
      </c>
      <c r="BG70" s="1086">
        <f t="shared" si="119"/>
        <v>0</v>
      </c>
      <c r="BH70" s="1030"/>
    </row>
    <row r="71" spans="1:60" s="75" customFormat="1" ht="15" customHeight="1" x14ac:dyDescent="0.25">
      <c r="A71" s="327" t="s">
        <v>394</v>
      </c>
      <c r="B71" s="328"/>
      <c r="C71" s="1086">
        <f t="shared" ref="C71:AH71" si="120">INDEX(MO_CFSum_NetDebtIssuance,0,COLUMN())</f>
        <v>25.146000000000001</v>
      </c>
      <c r="D71" s="1086">
        <f t="shared" si="120"/>
        <v>71.513000000000005</v>
      </c>
      <c r="E71" s="1086">
        <f t="shared" si="120"/>
        <v>204.00700000000001</v>
      </c>
      <c r="F71" s="1086">
        <f t="shared" si="120"/>
        <v>173.25399999999999</v>
      </c>
      <c r="G71" s="1087">
        <f t="shared" si="120"/>
        <v>-14.218999999999999</v>
      </c>
      <c r="H71" s="1087">
        <f t="shared" si="120"/>
        <v>218.24800000000002</v>
      </c>
      <c r="I71" s="1087">
        <f t="shared" si="120"/>
        <v>-2.746</v>
      </c>
      <c r="J71" s="1087">
        <f t="shared" si="120"/>
        <v>-2.0450000000000008</v>
      </c>
      <c r="K71" s="1086">
        <f t="shared" si="120"/>
        <v>199.238</v>
      </c>
      <c r="L71" s="1087">
        <f t="shared" si="120"/>
        <v>1997.4549999999999</v>
      </c>
      <c r="M71" s="1087">
        <f t="shared" si="120"/>
        <v>296.899</v>
      </c>
      <c r="N71" s="1087">
        <f t="shared" si="120"/>
        <v>-3.056</v>
      </c>
      <c r="O71" s="1087">
        <f t="shared" si="120"/>
        <v>0.79399999999999959</v>
      </c>
      <c r="P71" s="1086">
        <f t="shared" si="120"/>
        <v>2292.0920000000001</v>
      </c>
      <c r="Q71" s="1087">
        <f t="shared" si="120"/>
        <v>151.89600000000002</v>
      </c>
      <c r="R71" s="1087">
        <f t="shared" si="120"/>
        <v>198.98399999999998</v>
      </c>
      <c r="S71" s="1087">
        <f t="shared" si="120"/>
        <v>120.13700000000001</v>
      </c>
      <c r="T71" s="1087">
        <f t="shared" si="120"/>
        <v>212.92</v>
      </c>
      <c r="U71" s="1086">
        <f t="shared" si="120"/>
        <v>683.93700000000001</v>
      </c>
      <c r="V71" s="1087">
        <f t="shared" si="120"/>
        <v>663.63499999999999</v>
      </c>
      <c r="W71" s="1087">
        <f t="shared" si="120"/>
        <v>231.93699999999998</v>
      </c>
      <c r="X71" s="1087">
        <f t="shared" si="120"/>
        <v>-361.54599999999994</v>
      </c>
      <c r="Y71" s="1087">
        <f t="shared" si="120"/>
        <v>1184.1639999999998</v>
      </c>
      <c r="Z71" s="1086">
        <f t="shared" si="120"/>
        <v>1718.1899999999998</v>
      </c>
      <c r="AA71" s="1087">
        <f t="shared" si="120"/>
        <v>1916.2179999999998</v>
      </c>
      <c r="AB71" s="1087">
        <f t="shared" si="120"/>
        <v>-534.25000000000011</v>
      </c>
      <c r="AC71" s="1087">
        <f t="shared" si="120"/>
        <v>2027.6350000000004</v>
      </c>
      <c r="AD71" s="1087">
        <f t="shared" si="120"/>
        <v>263.19800000000004</v>
      </c>
      <c r="AE71" s="1086">
        <f t="shared" si="120"/>
        <v>3672.8010000000004</v>
      </c>
      <c r="AF71" s="1087">
        <f t="shared" si="120"/>
        <v>-1512.7669999999998</v>
      </c>
      <c r="AG71" s="1087">
        <f t="shared" si="120"/>
        <v>2021.078</v>
      </c>
      <c r="AH71" s="1087">
        <f t="shared" si="120"/>
        <v>-221.93100000000027</v>
      </c>
      <c r="AI71" s="1087">
        <f t="shared" ref="AI71:AY71" si="121">INDEX(MO_CFSum_NetDebtIssuance,0,COLUMN())</f>
        <v>-197.23599999999988</v>
      </c>
      <c r="AJ71" s="1086">
        <f t="shared" si="121"/>
        <v>89.143999999999323</v>
      </c>
      <c r="AK71" s="1087">
        <f t="shared" si="121"/>
        <v>-677.19</v>
      </c>
      <c r="AL71" s="1087">
        <f t="shared" si="121"/>
        <v>1622.4450000000004</v>
      </c>
      <c r="AM71" s="1087">
        <f t="shared" si="121"/>
        <v>47.745000000000118</v>
      </c>
      <c r="AN71" s="1087">
        <f t="shared" si="121"/>
        <v>-195</v>
      </c>
      <c r="AO71" s="1086">
        <f t="shared" si="121"/>
        <v>798</v>
      </c>
      <c r="AP71" s="1087">
        <f t="shared" si="121"/>
        <v>287</v>
      </c>
      <c r="AQ71" s="1087">
        <f t="shared" si="121"/>
        <v>111</v>
      </c>
      <c r="AR71" s="1087">
        <f>INDEX(MO_CFSum_NetDebtIssuance,0,COLUMN())</f>
        <v>-581</v>
      </c>
      <c r="AS71" s="1087">
        <f>INDEX(MO_CFSum_NetDebtIssuance,0,COLUMN())</f>
        <v>-2305</v>
      </c>
      <c r="AT71" s="1086">
        <f>INDEX(MO_CFSum_NetDebtIssuance,0,COLUMN())</f>
        <v>-2488</v>
      </c>
      <c r="AU71" s="1087">
        <f t="shared" si="121"/>
        <v>-1167</v>
      </c>
      <c r="AV71" s="1087">
        <f>INDEX(MO_CFSum_NetDebtIssuance,0,COLUMN())</f>
        <v>-1588</v>
      </c>
      <c r="AW71" s="1088">
        <f>INDEX(MO_CFSum_NetDebtIssuance,0,COLUMN())</f>
        <v>-1521</v>
      </c>
      <c r="AX71" s="1087">
        <f t="shared" si="121"/>
        <v>0</v>
      </c>
      <c r="AY71" s="1086">
        <f t="shared" si="121"/>
        <v>-4276</v>
      </c>
      <c r="AZ71" s="1087">
        <f t="shared" ref="AZ71:BG71" si="122">INDEX(MO_CFSum_NetDebtIssuance,0,COLUMN())</f>
        <v>0</v>
      </c>
      <c r="BA71" s="1087">
        <f t="shared" si="122"/>
        <v>0</v>
      </c>
      <c r="BB71" s="1087">
        <f t="shared" si="122"/>
        <v>0</v>
      </c>
      <c r="BC71" s="1087">
        <f t="shared" si="122"/>
        <v>0</v>
      </c>
      <c r="BD71" s="1086">
        <f t="shared" si="122"/>
        <v>0</v>
      </c>
      <c r="BE71" s="1086">
        <f t="shared" si="122"/>
        <v>0</v>
      </c>
      <c r="BF71" s="1086">
        <f t="shared" si="122"/>
        <v>0</v>
      </c>
      <c r="BG71" s="1086">
        <f t="shared" si="122"/>
        <v>0</v>
      </c>
      <c r="BH71" s="1030"/>
    </row>
    <row r="72" spans="1:60" s="75" customFormat="1" ht="15" customHeight="1" x14ac:dyDescent="0.25">
      <c r="A72" s="490" t="s">
        <v>385</v>
      </c>
      <c r="B72" s="491"/>
      <c r="C72" s="1080">
        <f>Model!C663+Model!C651+Model!C653+Model!C638+Model!C626+Model!C625+Model!C657+Model!C658+Model!C660+Model!C622+Model!C627+Model!C628+Model!C623+Model!C624</f>
        <v>-4.4059999999999997</v>
      </c>
      <c r="D72" s="1080">
        <f>Model!D663+Model!D651+Model!D653+Model!D638+Model!D626+Model!D625+Model!D657+Model!D658+Model!D660+Model!D622+Model!D627+Model!D628+Model!D623+Model!D624</f>
        <v>-78.617999999999995</v>
      </c>
      <c r="E72" s="1080">
        <f>Model!E663+Model!E651+Model!E653+Model!E638+Model!E626+Model!E625+Model!E657+Model!E658+Model!E660+Model!E622+Model!E627+Model!E628+Model!E623+Model!E624</f>
        <v>21.968000000000004</v>
      </c>
      <c r="F72" s="1080">
        <f>Model!F663+Model!F651+Model!F653+Model!F638+Model!F626+Model!F625+Model!F657+Model!F658+Model!F660+Model!F622+Model!F627+Model!F628+Model!F623+Model!F624</f>
        <v>32.298000000000002</v>
      </c>
      <c r="G72" s="1081">
        <f>Model!G663+Model!G651+Model!G653+Model!G638+Model!G626+Model!G625+Model!G657+Model!G658+Model!G660+Model!G622+Model!G627+Model!G628+Model!G623+Model!G624</f>
        <v>2.4910000000000001</v>
      </c>
      <c r="H72" s="1081">
        <f>Model!H663+Model!H651+Model!H653+Model!H638+Model!H626+Model!H625+Model!H657+Model!H658+Model!H660+Model!H622+Model!H627+Model!H628+Model!H623+Model!H624</f>
        <v>-183.30099999999999</v>
      </c>
      <c r="I72" s="1081">
        <f>Model!I663+Model!I651+Model!I653+Model!I638+Model!I626+Model!I625+Model!I657+Model!I658+Model!I660+Model!I622+Model!I627+Model!I628+Model!I623+Model!I624</f>
        <v>-0.81099999999999806</v>
      </c>
      <c r="J72" s="1081">
        <f>Model!J663+Model!J651+Model!J653+Model!J638+Model!J626+Model!J625+Model!J657+Model!J658+Model!J660+Model!J622+Model!J627+Model!J628+Model!J623+Model!J624</f>
        <v>-4.8230000000000004</v>
      </c>
      <c r="K72" s="1080">
        <f>Model!K663+Model!K651+Model!K653+Model!K638+Model!K626+Model!K625+Model!K657+Model!K658+Model!K660+Model!K622+Model!K627+Model!K628+Model!K623+Model!K624</f>
        <v>-186.44399999999999</v>
      </c>
      <c r="L72" s="1081">
        <f>Model!L663+Model!L651+Model!L653+Model!L638+Model!L626+Model!L625+Model!L657+Model!L658+Model!L660+Model!L622+Model!L627+Model!L628+Model!L623+Model!L624</f>
        <v>-740.92100000000005</v>
      </c>
      <c r="M72" s="1081">
        <f>Model!M663+Model!M651+Model!M653+Model!M638+Model!M626+Model!M625+Model!M657+Model!M658+Model!M660+Model!M622+Model!M627+Model!M628+Model!M623+Model!M624</f>
        <v>93.301000000000016</v>
      </c>
      <c r="N72" s="1081">
        <f>Model!N663+Model!N651+Model!N653+Model!N638+Model!N626+Model!N625+Model!N657+Model!N658+Model!N660+Model!N622+Model!N627+Model!N628+Model!N623+Model!N624</f>
        <v>-25.757999999999988</v>
      </c>
      <c r="O72" s="1081">
        <f>Model!O663+Model!O651+Model!O653+Model!O638+Model!O626+Model!O625+Model!O657+Model!O658+Model!O660+Model!O622+Model!O627+Model!O628+Model!O623+Model!O624</f>
        <v>-21.283000000000019</v>
      </c>
      <c r="P72" s="1080">
        <f>Model!P663+Model!P651+Model!P653+Model!P638+Model!P626+Model!P625+Model!P657+Model!P658+Model!P660+Model!P622+Model!P627+Model!P628+Model!P623+Model!P624</f>
        <v>-694.66100000000006</v>
      </c>
      <c r="Q72" s="1081">
        <f>Model!Q663+Model!Q651+Model!Q653+Model!Q638+Model!Q626+Model!Q625+Model!Q657+Model!Q658+Model!Q660+Model!Q622+Model!Q627+Model!Q628+Model!Q623+Model!Q624</f>
        <v>-24.896999999999998</v>
      </c>
      <c r="R72" s="1081">
        <f>Model!R663+Model!R651+Model!R653+Model!R638+Model!R626+Model!R625+Model!R657+Model!R658+Model!R660+Model!R622+Model!R627+Model!R628+Model!R623+Model!R624</f>
        <v>-5.0989999999999975</v>
      </c>
      <c r="S72" s="1081">
        <f>Model!S663+Model!S651+Model!S653+Model!S638+Model!S626+Model!S625+Model!S657+Model!S658+Model!S660+Model!S622+Model!S627+Model!S628+Model!S623+Model!S624</f>
        <v>-34.186</v>
      </c>
      <c r="T72" s="1081">
        <f>Model!T663+Model!T651+Model!T653+Model!T638+Model!T626+Model!T625+Model!T657+Model!T658+Model!T660+Model!T622+Model!T627+Model!T628+Model!T623+Model!T624</f>
        <v>-13.561999999999998</v>
      </c>
      <c r="U72" s="1080">
        <f>Model!U663+Model!U651+Model!U653+Model!U638+Model!U626+Model!U625+Model!U657+Model!U658+Model!U660+Model!U622+Model!U627+Model!U628+Model!U623+Model!U624</f>
        <v>-77.744</v>
      </c>
      <c r="V72" s="1081">
        <f>Model!V663+Model!V651+Model!V653+Model!V638+Model!V626+Model!V625+Model!V657+Model!V658+Model!V660+Model!V622+Model!V627+Model!V628+Model!V623+Model!V624</f>
        <v>-5.1280000000000019</v>
      </c>
      <c r="W72" s="1081">
        <f>Model!W663+Model!W651+Model!W653+Model!W638+Model!W626+Model!W625+Model!W657+Model!W658+Model!W660+Model!W622+Model!W627+Model!W628+Model!W623+Model!W624</f>
        <v>-42.414999999999999</v>
      </c>
      <c r="X72" s="1081">
        <f>Model!X663+Model!X651+Model!X653+Model!X638+Model!X626+Model!X625+Model!X657+Model!X658+Model!X660+Model!X622+Model!X627+Model!X628+Model!X623+Model!X624</f>
        <v>-19.519000000000002</v>
      </c>
      <c r="Y72" s="1081">
        <f>Model!Y663+Model!Y651+Model!Y653+Model!Y638+Model!Y626+Model!Y625+Model!Y657+Model!Y658+Model!Y660+Model!Y622+Model!Y627+Model!Y628+Model!Y623+Model!Y624</f>
        <v>30.405999999999977</v>
      </c>
      <c r="Z72" s="1080">
        <f>Model!Z663+Model!Z651+Model!Z653+Model!Z638+Model!Z626+Model!Z625+Model!Z657+Model!Z658+Model!Z660+Model!Z622+Model!Z627+Model!Z628+Model!Z623+Model!Z624</f>
        <v>-36.656000000000006</v>
      </c>
      <c r="AA72" s="1081">
        <f>Model!AA663+Model!AA651+Model!AA653+Model!AA638+Model!AA626+Model!AA625+Model!AA657+Model!AA658+Model!AA660+Model!AA622+Model!AA627+Model!AA628+Model!AA623+Model!AA624</f>
        <v>-107.035</v>
      </c>
      <c r="AB72" s="1081">
        <f>Model!AB663+Model!AB651+Model!AB653+Model!AB638+Model!AB626+Model!AB625+Model!AB657+Model!AB658+Model!AB660+Model!AB622+Model!AB627+Model!AB628+Model!AB623+Model!AB624</f>
        <v>397.48400000000004</v>
      </c>
      <c r="AC72" s="1081">
        <f>Model!AC663+Model!AC651+Model!AC653+Model!AC638+Model!AC626+Model!AC625+Model!AC657+Model!AC658+Model!AC660+Model!AC622+Model!AC627+Model!AC628+Model!AC623+Model!AC624</f>
        <v>9.5320000000000107</v>
      </c>
      <c r="AD72" s="1081">
        <f>Model!AD663+Model!AD651+Model!AD653+Model!AD638+Model!AD626+Model!AD625+Model!AD657+Model!AD658+Model!AD660+Model!AD622+Model!AD627+Model!AD628+Model!AD623+Model!AD624</f>
        <v>38.502000000000002</v>
      </c>
      <c r="AE72" s="1080">
        <f>Model!AE663+Model!AE651+Model!AE653+Model!AE638+Model!AE626+Model!AE625+Model!AE657+Model!AE658+Model!AE660+Model!AE622+Model!AE627+Model!AE628+Model!AE623+Model!AE624</f>
        <v>338.48299999999989</v>
      </c>
      <c r="AF72" s="1081">
        <f>Model!AF663+Model!AF651+Model!AF653+Model!AF638+Model!AF626+Model!AF625+Model!AF657+Model!AF658+Model!AF660+Model!AF622+Model!AF627+Model!AF628+Model!AF623+Model!AF624</f>
        <v>77.971999999999994</v>
      </c>
      <c r="AG72" s="1081">
        <f>Model!AG663+Model!AG651+Model!AG653+Model!AG638+Model!AG626+Model!AG625+Model!AG657+Model!AG658+Model!AG660+Model!AG622+Model!AG627+Model!AG628+Model!AG623+Model!AG624</f>
        <v>155.964</v>
      </c>
      <c r="AH72" s="1081">
        <f>Model!AH663+Model!AH651+Model!AH653+Model!AH638+Model!AH626+Model!AH625+Model!AH657+Model!AH658+Model!AH660+Model!AH622+Model!AH627+Model!AH628+Model!AH623+Model!AH624</f>
        <v>105.44000000000001</v>
      </c>
      <c r="AI72" s="1081">
        <f>Model!AI663+Model!AI651+Model!AI653+Model!AI638+Model!AI626+Model!AI625+Model!AI657+Model!AI658+Model!AI660+Model!AI622+Model!AI627+Model!AI628+Model!AI623+Model!AI624</f>
        <v>54.127999999999986</v>
      </c>
      <c r="AJ72" s="1080">
        <f>Model!AJ663+Model!AJ651+Model!AJ653+Model!AJ638+Model!AJ626+Model!AJ625+Model!AJ657+Model!AJ658+Model!AJ660+Model!AJ622+Model!AJ627+Model!AJ628+Model!AJ623+Model!AJ624</f>
        <v>393.50400000000002</v>
      </c>
      <c r="AK72" s="1081">
        <f>Model!AK663+Model!AK651+Model!AK653+Model!AK638+Model!AK626+Model!AK625+Model!AK657+Model!AK658+Model!AK660+Model!AK622+Model!AK627+Model!AK628+Model!AK623+Model!AK624</f>
        <v>36.353000000000002</v>
      </c>
      <c r="AL72" s="1081">
        <f>Model!AL663+Model!AL651+Model!AL653+Model!AL638+Model!AL626+Model!AL625+Model!AL657+Model!AL658+Model!AL660+Model!AL622+Model!AL627+Model!AL628+Model!AL623+Model!AL624</f>
        <v>-455.80500000000006</v>
      </c>
      <c r="AM72" s="1081">
        <f>Model!AM663+Model!AM651+Model!AM653+Model!AM638+Model!AM626+Model!AM625+Model!AM657+Model!AM658+Model!AM660+Model!AM622+Model!AM627+Model!AM628+Model!AM623+Model!AM624</f>
        <v>50.452000000000012</v>
      </c>
      <c r="AN72" s="1081">
        <f>Model!AN663+Model!AN651+Model!AN653+Model!AN638+Model!AN626+Model!AN625+Model!AN657+Model!AN658+Model!AN660+Model!AN622+Model!AN627+Model!AN628+Model!AN623+Model!AN624</f>
        <v>180</v>
      </c>
      <c r="AO72" s="1080">
        <f>Model!AO663+Model!AO651+Model!AO653+Model!AO638+Model!AO626+Model!AO625+Model!AO657+Model!AO658+Model!AO660+Model!AO622+Model!AO627+Model!AO628+Model!AO623+Model!AO624</f>
        <v>-189</v>
      </c>
      <c r="AP72" s="1081">
        <f>Model!AP663+Model!AP651+Model!AP653+Model!AP638+Model!AP626+Model!AP625+Model!AP657+Model!AP658+Model!AP660+Model!AP622+Model!AP627+Model!AP628+Model!AP623+Model!AP624</f>
        <v>-4</v>
      </c>
      <c r="AQ72" s="1081">
        <f>Model!AQ663+Model!AQ651+Model!AQ653+Model!AQ638+Model!AQ626+Model!AQ625+Model!AQ657+Model!AQ658+Model!AQ660+Model!AQ622+Model!AQ627+Model!AQ628+Model!AQ623+Model!AQ624</f>
        <v>36</v>
      </c>
      <c r="AR72" s="1081">
        <f>Model!AR663+Model!AR651+Model!AR653+Model!AR638+Model!AR626+Model!AR625+Model!AR657+Model!AR658+Model!AR660+Model!AR622+Model!AR627+Model!AR628+Model!AR623+Model!AR624</f>
        <v>53</v>
      </c>
      <c r="AS72" s="1081">
        <f>Model!AS663+Model!AS651+Model!AS653+Model!AS638+Model!AS626+Model!AS625+Model!AS657+Model!AS658+Model!AS660+Model!AS622+Model!AS627+Model!AS628+Model!AS623+Model!AS624</f>
        <v>355</v>
      </c>
      <c r="AT72" s="1080">
        <f>Model!AT663+Model!AT651+Model!AT653+Model!AT638+Model!AT626+Model!AT625+Model!AT657+Model!AT658+Model!AT660+Model!AT622+Model!AT627+Model!AT628+Model!AT623+Model!AT624</f>
        <v>440</v>
      </c>
      <c r="AU72" s="1081">
        <f>Model!AU663+Model!AU651+Model!AU653+Model!AU638+Model!AU626+Model!AU625+Model!AU657+Model!AU658+Model!AU660+Model!AU622+Model!AU627+Model!AU628+Model!AU623+Model!AU624</f>
        <v>-1443</v>
      </c>
      <c r="AV72" s="1081">
        <f>Model!AV663+Model!AV651+Model!AV653+Model!AV638+Model!AV626+Model!AV625+Model!AV657+Model!AV658+Model!AV660+Model!AV622+Model!AV627+Model!AV628+Model!AV623+Model!AV624</f>
        <v>44</v>
      </c>
      <c r="AW72" s="1082">
        <f>Model!AW663+Model!AW651+Model!AW653+Model!AW638+Model!AW626+Model!AW625+Model!AW657+Model!AW658+Model!AW660+Model!AW622+Model!AW627+Model!AW628+Model!AW623+Model!AW624</f>
        <v>-81</v>
      </c>
      <c r="AX72" s="1081">
        <f>Model!AX663+Model!AX651+Model!AX653+Model!AX638+Model!AX626+Model!AX625+Model!AX657+Model!AX658+Model!AX660+Model!AX622+Model!AX627+Model!AX628+Model!AX623+Model!AX624</f>
        <v>0</v>
      </c>
      <c r="AY72" s="1080">
        <f>Model!AY663+Model!AY651+Model!AY653+Model!AY638+Model!AY626+Model!AY625+Model!AY657+Model!AY658+Model!AY660+Model!AY622+Model!AY627+Model!AY628+Model!AY623+Model!AY624</f>
        <v>-1480</v>
      </c>
      <c r="AZ72" s="1081">
        <f>Model!AZ663+Model!AZ651+Model!AZ653+Model!AZ638+Model!AZ626+Model!AZ625+Model!AZ657+Model!AZ658+Model!AZ660+Model!AZ622+Model!AZ627+Model!AZ628+Model!AZ623+Model!AZ624</f>
        <v>0</v>
      </c>
      <c r="BA72" s="1081">
        <f>Model!BA663+Model!BA651+Model!BA653+Model!BA638+Model!BA626+Model!BA625+Model!BA657+Model!BA658+Model!BA660+Model!BA622+Model!BA627+Model!BA628+Model!BA623+Model!BA624</f>
        <v>0</v>
      </c>
      <c r="BB72" s="1081">
        <f>Model!BB663+Model!BB651+Model!BB653+Model!BB638+Model!BB626+Model!BB625+Model!BB657+Model!BB658+Model!BB660+Model!BB622+Model!BB627+Model!BB628+Model!BB623+Model!BB624</f>
        <v>0</v>
      </c>
      <c r="BC72" s="1081">
        <f>Model!BC663+Model!BC651+Model!BC653+Model!BC638+Model!BC626+Model!BC625+Model!BC657+Model!BC658+Model!BC660+Model!BC622+Model!BC627+Model!BC628+Model!BC623+Model!BC624</f>
        <v>0</v>
      </c>
      <c r="BD72" s="1080">
        <f>Model!BD663+Model!BD651+Model!BD653+Model!BD638+Model!BD626+Model!BD625+Model!BD657+Model!BD658+Model!BD660+Model!BD622+Model!BD627+Model!BD628+Model!BD623+Model!BD624</f>
        <v>0</v>
      </c>
      <c r="BE72" s="1080">
        <f>Model!BE663+Model!BE651+Model!BE653+Model!BE638+Model!BE626+Model!BE625+Model!BE657+Model!BE658+Model!BE660+Model!BE622+Model!BE627+Model!BE628+Model!BE623+Model!BE624</f>
        <v>0</v>
      </c>
      <c r="BF72" s="1080">
        <f>Model!BF663+Model!BF651+Model!BF653+Model!BF638+Model!BF626+Model!BF625+Model!BF657+Model!BF658+Model!BF660+Model!BF622+Model!BF627+Model!BF628+Model!BF623+Model!BF624</f>
        <v>0</v>
      </c>
      <c r="BG72" s="1080">
        <f>Model!BG663+Model!BG651+Model!BG653+Model!BG638+Model!BG626+Model!BG625+Model!BG657+Model!BG658+Model!BG660+Model!BG622+Model!BG627+Model!BG628+Model!BG623+Model!BG624</f>
        <v>0</v>
      </c>
      <c r="BH72" s="1030"/>
    </row>
    <row r="73" spans="1:60" s="76" customFormat="1" ht="15" customHeight="1" x14ac:dyDescent="0.25">
      <c r="A73" s="329" t="s">
        <v>395</v>
      </c>
      <c r="B73" s="330"/>
      <c r="C73" s="1083">
        <f t="shared" ref="C73:AH73" si="123">SUM(C66:C72)</f>
        <v>60.35</v>
      </c>
      <c r="D73" s="1083">
        <f t="shared" si="123"/>
        <v>29.931000000000012</v>
      </c>
      <c r="E73" s="1083">
        <f t="shared" si="123"/>
        <v>155.70800000000008</v>
      </c>
      <c r="F73" s="1083">
        <f t="shared" si="123"/>
        <v>-53.376000000000118</v>
      </c>
      <c r="G73" s="1084">
        <f t="shared" si="123"/>
        <v>12.52700000000001</v>
      </c>
      <c r="H73" s="1084">
        <f t="shared" si="123"/>
        <v>531.63999999999987</v>
      </c>
      <c r="I73" s="1084">
        <f t="shared" si="123"/>
        <v>49.059000000000026</v>
      </c>
      <c r="J73" s="1084">
        <f t="shared" si="123"/>
        <v>50.773000000000032</v>
      </c>
      <c r="K73" s="1083">
        <f t="shared" si="123"/>
        <v>643.99900000000002</v>
      </c>
      <c r="L73" s="1084">
        <f t="shared" si="123"/>
        <v>1548.019</v>
      </c>
      <c r="M73" s="1084">
        <f t="shared" si="123"/>
        <v>281.00200000000007</v>
      </c>
      <c r="N73" s="1084">
        <f t="shared" si="123"/>
        <v>-304.17500000000001</v>
      </c>
      <c r="O73" s="1084">
        <f t="shared" si="123"/>
        <v>-465.02199999999993</v>
      </c>
      <c r="P73" s="1083">
        <f t="shared" si="123"/>
        <v>1059.8240000000003</v>
      </c>
      <c r="Q73" s="1084">
        <f t="shared" si="123"/>
        <v>-395.63700000000006</v>
      </c>
      <c r="R73" s="1084">
        <f t="shared" si="123"/>
        <v>-359.40300000000002</v>
      </c>
      <c r="S73" s="1084">
        <f t="shared" si="123"/>
        <v>275.36300000000006</v>
      </c>
      <c r="T73" s="1084">
        <f t="shared" si="123"/>
        <v>-229.12799999999987</v>
      </c>
      <c r="U73" s="1083">
        <f t="shared" si="123"/>
        <v>-708.80500000000006</v>
      </c>
      <c r="V73" s="1084">
        <f t="shared" si="123"/>
        <v>244.88099999999994</v>
      </c>
      <c r="W73" s="1084">
        <f t="shared" si="123"/>
        <v>1804.5119999999999</v>
      </c>
      <c r="X73" s="1084">
        <f t="shared" si="123"/>
        <v>-162.04399999999981</v>
      </c>
      <c r="Y73" s="1084">
        <f t="shared" si="123"/>
        <v>308.95899999999972</v>
      </c>
      <c r="Z73" s="1083">
        <f t="shared" si="123"/>
        <v>2196.308</v>
      </c>
      <c r="AA73" s="1084">
        <f t="shared" si="123"/>
        <v>613.37699999999984</v>
      </c>
      <c r="AB73" s="1084">
        <f t="shared" si="123"/>
        <v>-970.66899999999998</v>
      </c>
      <c r="AC73" s="1084">
        <f t="shared" si="123"/>
        <v>494.10599999999965</v>
      </c>
      <c r="AD73" s="1084">
        <f t="shared" si="123"/>
        <v>-162.11599999999953</v>
      </c>
      <c r="AE73" s="1083">
        <f t="shared" si="123"/>
        <v>-25.301999999999964</v>
      </c>
      <c r="AF73" s="1084">
        <f t="shared" si="123"/>
        <v>-745.25099999999975</v>
      </c>
      <c r="AG73" s="1084">
        <f t="shared" si="123"/>
        <v>-436.46999999999974</v>
      </c>
      <c r="AH73" s="1084">
        <f t="shared" si="123"/>
        <v>739.72799999999995</v>
      </c>
      <c r="AI73" s="1084">
        <f t="shared" ref="AI73:AX73" si="124">SUM(AI66:AI72)</f>
        <v>753.4219999999998</v>
      </c>
      <c r="AJ73" s="1083">
        <f t="shared" si="124"/>
        <v>311.42899999999889</v>
      </c>
      <c r="AK73" s="1084">
        <f t="shared" si="124"/>
        <v>-1593.5900000000001</v>
      </c>
      <c r="AL73" s="1084">
        <f t="shared" si="124"/>
        <v>2765.4949999999999</v>
      </c>
      <c r="AM73" s="1084">
        <f t="shared" si="124"/>
        <v>377.09500000000037</v>
      </c>
      <c r="AN73" s="1084">
        <f t="shared" si="124"/>
        <v>957</v>
      </c>
      <c r="AO73" s="1083">
        <f t="shared" si="124"/>
        <v>2506</v>
      </c>
      <c r="AP73" s="1084">
        <f t="shared" si="124"/>
        <v>1764</v>
      </c>
      <c r="AQ73" s="1084">
        <f t="shared" si="124"/>
        <v>559</v>
      </c>
      <c r="AR73" s="1084">
        <f t="shared" ref="AR73:AV73" si="125">SUM(AR66:AR72)</f>
        <v>5897</v>
      </c>
      <c r="AS73" s="1084">
        <f t="shared" si="125"/>
        <v>4898</v>
      </c>
      <c r="AT73" s="1083">
        <f t="shared" si="125"/>
        <v>13118</v>
      </c>
      <c r="AU73" s="1084">
        <f t="shared" si="125"/>
        <v>-2178</v>
      </c>
      <c r="AV73" s="1084">
        <f t="shared" si="125"/>
        <v>-898</v>
      </c>
      <c r="AW73" s="1085">
        <f>SUM(AW66:AW72)</f>
        <v>-131</v>
      </c>
      <c r="AX73" s="1084">
        <f t="shared" ca="1" si="124"/>
        <v>1160.0705574896356</v>
      </c>
      <c r="AY73" s="1083">
        <f ca="1">SUM(AY66:AY72)</f>
        <v>-2046.9294425103635</v>
      </c>
      <c r="AZ73" s="1084">
        <f t="shared" ref="AZ73:BG73" ca="1" si="126">SUM(AZ66:AZ72)</f>
        <v>2312.9610824833785</v>
      </c>
      <c r="BA73" s="1084">
        <f t="shared" ca="1" si="126"/>
        <v>2852.83031432598</v>
      </c>
      <c r="BB73" s="1084">
        <f t="shared" ca="1" si="126"/>
        <v>5663.9619575365086</v>
      </c>
      <c r="BC73" s="1084">
        <f t="shared" ca="1" si="126"/>
        <v>2823.3952144012183</v>
      </c>
      <c r="BD73" s="1083">
        <f t="shared" ca="1" si="126"/>
        <v>13653.148568747085</v>
      </c>
      <c r="BE73" s="1083">
        <f t="shared" ca="1" si="126"/>
        <v>12390.299377733936</v>
      </c>
      <c r="BF73" s="1083">
        <f t="shared" ca="1" si="126"/>
        <v>16579.316084975319</v>
      </c>
      <c r="BG73" s="1083">
        <f t="shared" ca="1" si="126"/>
        <v>21491.970565300086</v>
      </c>
      <c r="BH73" s="1032"/>
    </row>
    <row r="74" spans="1:60" s="76" customFormat="1" ht="15" customHeight="1" x14ac:dyDescent="0.25">
      <c r="A74" s="326"/>
      <c r="B74" s="331"/>
      <c r="C74" s="1089"/>
      <c r="D74" s="1089"/>
      <c r="E74" s="1089"/>
      <c r="F74" s="1089"/>
      <c r="G74" s="1090"/>
      <c r="H74" s="1090"/>
      <c r="I74" s="1090"/>
      <c r="J74" s="1090"/>
      <c r="K74" s="1089"/>
      <c r="L74" s="1090"/>
      <c r="M74" s="1090"/>
      <c r="N74" s="1090"/>
      <c r="O74" s="1090"/>
      <c r="P74" s="1089"/>
      <c r="Q74" s="1090"/>
      <c r="R74" s="1090"/>
      <c r="S74" s="1090"/>
      <c r="T74" s="1090"/>
      <c r="U74" s="1089"/>
      <c r="V74" s="1090"/>
      <c r="W74" s="1090"/>
      <c r="X74" s="1090"/>
      <c r="Y74" s="1090"/>
      <c r="Z74" s="1089"/>
      <c r="AA74" s="1090"/>
      <c r="AB74" s="1090"/>
      <c r="AC74" s="1090"/>
      <c r="AD74" s="1090"/>
      <c r="AE74" s="1089"/>
      <c r="AF74" s="1090"/>
      <c r="AG74" s="1090"/>
      <c r="AH74" s="1090"/>
      <c r="AI74" s="1090"/>
      <c r="AJ74" s="1089"/>
      <c r="AK74" s="1090"/>
      <c r="AL74" s="1090"/>
      <c r="AM74" s="1090"/>
      <c r="AN74" s="1090"/>
      <c r="AO74" s="1089"/>
      <c r="AP74" s="1090"/>
      <c r="AQ74" s="1090"/>
      <c r="AR74" s="1090"/>
      <c r="AS74" s="1090"/>
      <c r="AT74" s="1089"/>
      <c r="AU74" s="1090"/>
      <c r="AV74" s="1090"/>
      <c r="AW74" s="1091"/>
      <c r="AX74" s="1090"/>
      <c r="AY74" s="1089"/>
      <c r="AZ74" s="1090"/>
      <c r="BA74" s="1090"/>
      <c r="BB74" s="1090"/>
      <c r="BC74" s="1090"/>
      <c r="BD74" s="1089"/>
      <c r="BE74" s="1089"/>
      <c r="BF74" s="1089"/>
      <c r="BG74" s="1089"/>
      <c r="BH74" s="1032"/>
    </row>
    <row r="75" spans="1:60" s="74" customFormat="1" ht="15" customHeight="1" x14ac:dyDescent="0.25">
      <c r="A75" s="339" t="s">
        <v>396</v>
      </c>
      <c r="B75" s="341"/>
      <c r="C75" s="130"/>
      <c r="D75" s="130">
        <f t="shared" ref="D75:AI75" si="127">INDEX(SP_CFA_CFO_BeforeWC,0,COLUMN())/INDEX(SP_CS_ShareCount,0,COLUMN())</f>
        <v>-0.45966838558593703</v>
      </c>
      <c r="E75" s="130">
        <f t="shared" si="127"/>
        <v>-0.40494874936497022</v>
      </c>
      <c r="F75" s="130">
        <f t="shared" si="127"/>
        <v>-0.57550605967451973</v>
      </c>
      <c r="G75" s="137">
        <f t="shared" si="127"/>
        <v>5.6646549384038798E-2</v>
      </c>
      <c r="H75" s="137">
        <f t="shared" si="127"/>
        <v>4.1560730404665028E-2</v>
      </c>
      <c r="I75" s="137">
        <f t="shared" si="127"/>
        <v>2.4764641109595951E-2</v>
      </c>
      <c r="J75" s="137">
        <f t="shared" si="127"/>
        <v>5.305550717064389E-2</v>
      </c>
      <c r="K75" s="130">
        <f t="shared" si="127"/>
        <v>0.17349227981369714</v>
      </c>
      <c r="L75" s="137">
        <f t="shared" si="127"/>
        <v>6.0232062244599593E-2</v>
      </c>
      <c r="M75" s="137">
        <f t="shared" si="127"/>
        <v>9.0221925816613216E-2</v>
      </c>
      <c r="N75" s="137">
        <f t="shared" si="127"/>
        <v>9.3436639649169498E-2</v>
      </c>
      <c r="O75" s="137">
        <f t="shared" si="127"/>
        <v>4.300819939918879E-2</v>
      </c>
      <c r="P75" s="130">
        <f t="shared" si="127"/>
        <v>0.28053241082540553</v>
      </c>
      <c r="Q75" s="137">
        <f t="shared" si="127"/>
        <v>3.7144195574328867E-2</v>
      </c>
      <c r="R75" s="137">
        <f t="shared" si="127"/>
        <v>-4.6515572751504267E-2</v>
      </c>
      <c r="S75" s="137">
        <f t="shared" si="127"/>
        <v>-1.6887586623877852E-2</v>
      </c>
      <c r="T75" s="137">
        <f t="shared" si="127"/>
        <v>-2.1728451563691981E-2</v>
      </c>
      <c r="U75" s="130">
        <f t="shared" si="127"/>
        <v>-4.8688788006427501E-2</v>
      </c>
      <c r="V75" s="137">
        <f t="shared" si="127"/>
        <v>3.2295215411981083E-2</v>
      </c>
      <c r="W75" s="137">
        <f t="shared" si="127"/>
        <v>-1.3070158519248832E-2</v>
      </c>
      <c r="X75" s="137">
        <f t="shared" si="127"/>
        <v>0.61664127363397792</v>
      </c>
      <c r="Y75" s="137">
        <f t="shared" si="127"/>
        <v>0.12693002373825996</v>
      </c>
      <c r="Z75" s="130">
        <f t="shared" si="127"/>
        <v>0.79054724988211811</v>
      </c>
      <c r="AA75" s="137">
        <f t="shared" si="127"/>
        <v>0.23804377995300036</v>
      </c>
      <c r="AB75" s="137">
        <f t="shared" si="127"/>
        <v>0.34007336028859897</v>
      </c>
      <c r="AC75" s="137">
        <f t="shared" si="127"/>
        <v>-6.0724233983287045E-2</v>
      </c>
      <c r="AD75" s="137">
        <f t="shared" si="127"/>
        <v>1.5272645175089377E-2</v>
      </c>
      <c r="AE75" s="130">
        <f t="shared" si="127"/>
        <v>0.52600658791732513</v>
      </c>
      <c r="AF75" s="137">
        <f t="shared" si="127"/>
        <v>-8.6256843200548564E-2</v>
      </c>
      <c r="AG75" s="137">
        <f t="shared" si="127"/>
        <v>4.3912539633052236E-2</v>
      </c>
      <c r="AH75" s="137">
        <f t="shared" si="127"/>
        <v>1.1672125075759279</v>
      </c>
      <c r="AI75" s="137">
        <f t="shared" si="127"/>
        <v>1.1568297342285474</v>
      </c>
      <c r="AJ75" s="130">
        <f t="shared" ref="AJ75:AY75" si="128">INDEX(SP_CFA_CFO_BeforeWC,0,COLUMN())/INDEX(SP_CS_ShareCount,0,COLUMN())</f>
        <v>2.3924362996628057</v>
      </c>
      <c r="AK75" s="137">
        <f t="shared" si="128"/>
        <v>4.2193434264606436E-2</v>
      </c>
      <c r="AL75" s="137">
        <f t="shared" si="128"/>
        <v>0.65264075537491362</v>
      </c>
      <c r="AM75" s="137">
        <f t="shared" si="128"/>
        <v>1.0293989130434782</v>
      </c>
      <c r="AN75" s="137">
        <f t="shared" si="128"/>
        <v>1.277005347593583</v>
      </c>
      <c r="AO75" s="130">
        <f t="shared" si="128"/>
        <v>3.1118644067796608</v>
      </c>
      <c r="AP75" s="137">
        <f t="shared" si="128"/>
        <v>1.0120603015075378</v>
      </c>
      <c r="AQ75" s="137">
        <f t="shared" si="128"/>
        <v>1.1690821256038648</v>
      </c>
      <c r="AR75" s="137">
        <f>INDEX(SP_CFA_CFO_BeforeWC,0,COLUMN())/INDEX(SP_CS_ShareCount,0,COLUMN())</f>
        <v>1.5972850678733033</v>
      </c>
      <c r="AS75" s="137">
        <f>INDEX(SP_CFA_CFO_BeforeWC,0,COLUMN())/INDEX(SP_CS_ShareCount,0,COLUMN())</f>
        <v>1.5809608540925266</v>
      </c>
      <c r="AT75" s="130">
        <f>INDEX(SP_CFA_CFO_BeforeWC,0,COLUMN())/INDEX(SP_CS_ShareCount,0,COLUMN())</f>
        <v>5.3176361957525389</v>
      </c>
      <c r="AU75" s="137">
        <f t="shared" si="128"/>
        <v>1.4589585172109445</v>
      </c>
      <c r="AV75" s="137">
        <f>INDEX(SP_CFA_CFO_BeforeWC,0,COLUMN())/INDEX(SP_CS_ShareCount,0,COLUMN())</f>
        <v>2.1876675603217159</v>
      </c>
      <c r="AW75" s="763">
        <f>INDEX(SP_CFA_CFO_BeforeWC,0,COLUMN())/INDEX(SP_CS_ShareCount,0,COLUMN())</f>
        <v>2.8032056990204808</v>
      </c>
      <c r="AX75" s="137">
        <f t="shared" ca="1" si="128"/>
        <v>2.5667100970826393</v>
      </c>
      <c r="AY75" s="130">
        <f t="shared" ca="1" si="128"/>
        <v>9.0097069266552285</v>
      </c>
      <c r="AZ75" s="137">
        <f t="shared" ref="AZ75:BG75" ca="1" si="129">INDEX(SP_CFA_CFO_BeforeWC,0,COLUMN())/INDEX(SP_CS_ShareCount,0,COLUMN())</f>
        <v>3.1629168667179997</v>
      </c>
      <c r="BA75" s="137">
        <f t="shared" ca="1" si="129"/>
        <v>3.5136093567750284</v>
      </c>
      <c r="BB75" s="137">
        <f t="shared" ca="1" si="129"/>
        <v>4.3371986408443544</v>
      </c>
      <c r="BC75" s="137">
        <f t="shared" ca="1" si="129"/>
        <v>4.2888114947833351</v>
      </c>
      <c r="BD75" s="130">
        <f t="shared" ca="1" si="129"/>
        <v>15.302536359120721</v>
      </c>
      <c r="BE75" s="130">
        <f t="shared" ca="1" si="129"/>
        <v>18.290161879317843</v>
      </c>
      <c r="BF75" s="130">
        <f t="shared" ca="1" si="129"/>
        <v>21.904905375999139</v>
      </c>
      <c r="BG75" s="130">
        <f t="shared" ca="1" si="129"/>
        <v>26.113732185507835</v>
      </c>
      <c r="BH75" s="137"/>
    </row>
    <row r="76" spans="1:60" s="74" customFormat="1" ht="15" customHeight="1" x14ac:dyDescent="0.25">
      <c r="A76" s="339" t="s">
        <v>397</v>
      </c>
      <c r="B76" s="341"/>
      <c r="C76" s="130"/>
      <c r="D76" s="130">
        <f t="shared" ref="D76:AI76" si="130">INDEX(SP_CFA_FCF_PreDiv,0,COLUMN())/INDEX(SP_CS_ShareCount,0,COLUMN())</f>
        <v>-0.61820287280122277</v>
      </c>
      <c r="E76" s="130">
        <f t="shared" si="130"/>
        <v>-0.77197302493301045</v>
      </c>
      <c r="F76" s="130">
        <f t="shared" si="130"/>
        <v>-1.0212074635068797</v>
      </c>
      <c r="G76" s="137">
        <f t="shared" si="130"/>
        <v>-3.6262740202630338E-2</v>
      </c>
      <c r="H76" s="137">
        <f t="shared" si="130"/>
        <v>-2.052979624989466E-2</v>
      </c>
      <c r="I76" s="137">
        <f t="shared" si="130"/>
        <v>-8.6877511284829803E-2</v>
      </c>
      <c r="J76" s="137">
        <f t="shared" si="130"/>
        <v>-7.6762178482262106E-2</v>
      </c>
      <c r="K76" s="130">
        <f t="shared" si="130"/>
        <v>-0.22221257094933577</v>
      </c>
      <c r="L76" s="137">
        <f t="shared" si="130"/>
        <v>-0.14139822137910871</v>
      </c>
      <c r="M76" s="137">
        <f t="shared" si="130"/>
        <v>-0.15906859267247492</v>
      </c>
      <c r="N76" s="137">
        <f t="shared" si="130"/>
        <v>-0.30471533552368879</v>
      </c>
      <c r="O76" s="137">
        <f t="shared" si="130"/>
        <v>-0.54451341466329872</v>
      </c>
      <c r="P76" s="130">
        <f t="shared" si="130"/>
        <v>-1.0833800915476617</v>
      </c>
      <c r="Q76" s="137">
        <f t="shared" si="130"/>
        <v>-0.63942610780725229</v>
      </c>
      <c r="R76" s="137">
        <f t="shared" si="130"/>
        <v>-0.68613824486632613</v>
      </c>
      <c r="S76" s="137">
        <f t="shared" si="130"/>
        <v>-0.62523603553323082</v>
      </c>
      <c r="T76" s="137">
        <f t="shared" si="130"/>
        <v>-0.64906941266209017</v>
      </c>
      <c r="U76" s="130">
        <f t="shared" si="130"/>
        <v>-2.5991170184552503</v>
      </c>
      <c r="V76" s="137">
        <f t="shared" si="130"/>
        <v>-0.29460490216768676</v>
      </c>
      <c r="W76" s="137">
        <f t="shared" si="130"/>
        <v>-0.43414986105455672</v>
      </c>
      <c r="X76" s="137">
        <f t="shared" si="130"/>
        <v>0.28425743836876044</v>
      </c>
      <c r="Y76" s="137">
        <f t="shared" si="130"/>
        <v>-0.75200614098462137</v>
      </c>
      <c r="Z76" s="130">
        <f t="shared" si="130"/>
        <v>-1.2071658391812055</v>
      </c>
      <c r="AA76" s="137">
        <f t="shared" si="130"/>
        <v>-0.71498991543770707</v>
      </c>
      <c r="AB76" s="137">
        <f t="shared" si="130"/>
        <v>-1.061655327700167</v>
      </c>
      <c r="AC76" s="137">
        <f t="shared" si="130"/>
        <v>-1.5487955336114869</v>
      </c>
      <c r="AD76" s="137">
        <f t="shared" si="130"/>
        <v>-1.061456563328065</v>
      </c>
      <c r="AE76" s="130">
        <f t="shared" si="130"/>
        <v>-4.398466439025567</v>
      </c>
      <c r="AF76" s="137">
        <f t="shared" si="130"/>
        <v>-0.94780485497735689</v>
      </c>
      <c r="AG76" s="137">
        <f t="shared" si="130"/>
        <v>-0.75282269687112102</v>
      </c>
      <c r="AH76" s="137">
        <f t="shared" si="130"/>
        <v>0.53895485869492021</v>
      </c>
      <c r="AI76" s="137">
        <f t="shared" si="130"/>
        <v>0.76146704947884614</v>
      </c>
      <c r="AJ76" s="130">
        <f t="shared" ref="AJ76:AY76" si="131">INDEX(SP_CFA_FCF_PreDiv,0,COLUMN())/INDEX(SP_CS_ShareCount,0,COLUMN())</f>
        <v>-0.32800469139422422</v>
      </c>
      <c r="AK76" s="137">
        <f t="shared" si="131"/>
        <v>-0.31065327853216101</v>
      </c>
      <c r="AL76" s="137">
        <f t="shared" si="131"/>
        <v>0.34332763481155243</v>
      </c>
      <c r="AM76" s="137">
        <f t="shared" si="131"/>
        <v>0.58418152173913052</v>
      </c>
      <c r="AN76" s="137">
        <f t="shared" si="131"/>
        <v>0.79679144385026734</v>
      </c>
      <c r="AO76" s="130">
        <f t="shared" si="131"/>
        <v>1.4881355932203391</v>
      </c>
      <c r="AP76" s="137">
        <f t="shared" si="131"/>
        <v>0.52864321608040199</v>
      </c>
      <c r="AQ76" s="137">
        <f t="shared" si="131"/>
        <v>0.62222222222222223</v>
      </c>
      <c r="AR76" s="137">
        <f>INDEX(SP_CFA_FCF_PreDiv,0,COLUMN())/INDEX(SP_CS_ShareCount,0,COLUMN())</f>
        <v>0.66877828054298638</v>
      </c>
      <c r="AS76" s="137">
        <f>INDEX(SP_CFA_FCF_PreDiv,0,COLUMN())/INDEX(SP_CS_ShareCount,0,COLUMN())</f>
        <v>0.54092526690391463</v>
      </c>
      <c r="AT76" s="130">
        <f>INDEX(SP_CFA_FCF_PreDiv,0,COLUMN())/INDEX(SP_CS_ShareCount,0,COLUMN())</f>
        <v>2.3240997229916895</v>
      </c>
      <c r="AU76" s="137">
        <f t="shared" si="131"/>
        <v>0.25860547219770519</v>
      </c>
      <c r="AV76" s="137">
        <f>INDEX(SP_CFA_FCF_PreDiv,0,COLUMN())/INDEX(SP_CS_ShareCount,0,COLUMN())</f>
        <v>0.83378016085790885</v>
      </c>
      <c r="AW76" s="763">
        <f>INDEX(SP_CFA_FCF_PreDiv,0,COLUMN())/INDEX(SP_CS_ShareCount,0,COLUMN())</f>
        <v>1.1780943900267142</v>
      </c>
      <c r="AX76" s="137">
        <f t="shared" ca="1" si="131"/>
        <v>1.4981437569223546</v>
      </c>
      <c r="AY76" s="130">
        <f t="shared" ca="1" si="131"/>
        <v>3.762930581612987</v>
      </c>
      <c r="AZ76" s="137">
        <f t="shared" ref="AZ76:BG76" ca="1" si="132">INDEX(SP_CFA_FCF_PreDiv,0,COLUMN())/INDEX(SP_CS_ShareCount,0,COLUMN())</f>
        <v>1.8272089415176433</v>
      </c>
      <c r="BA76" s="137">
        <f t="shared" ca="1" si="132"/>
        <v>2.1779014315746723</v>
      </c>
      <c r="BB76" s="137">
        <f t="shared" ca="1" si="132"/>
        <v>3.0014907156439987</v>
      </c>
      <c r="BC76" s="137">
        <f t="shared" ca="1" si="132"/>
        <v>2.953103569582979</v>
      </c>
      <c r="BD76" s="130">
        <f t="shared" ca="1" si="132"/>
        <v>9.9597046583192963</v>
      </c>
      <c r="BE76" s="130">
        <f t="shared" ca="1" si="132"/>
        <v>12.947330178516419</v>
      </c>
      <c r="BF76" s="130">
        <f t="shared" ca="1" si="132"/>
        <v>16.562073675197716</v>
      </c>
      <c r="BG76" s="130">
        <f t="shared" ca="1" si="132"/>
        <v>20.770900484706413</v>
      </c>
      <c r="BH76" s="137"/>
    </row>
    <row r="77" spans="1:60" s="74" customFormat="1" ht="15" customHeight="1" x14ac:dyDescent="0.25">
      <c r="A77" s="339" t="s">
        <v>154</v>
      </c>
      <c r="B77" s="341"/>
      <c r="C77" s="130">
        <f t="shared" ref="C77:AH77" si="133">INDEX(MO_CFSum_DPS,0,COLUMN())</f>
        <v>0</v>
      </c>
      <c r="D77" s="130">
        <f t="shared" si="133"/>
        <v>0</v>
      </c>
      <c r="E77" s="130">
        <f t="shared" si="133"/>
        <v>0</v>
      </c>
      <c r="F77" s="130">
        <f t="shared" si="133"/>
        <v>0</v>
      </c>
      <c r="G77" s="137">
        <f t="shared" si="133"/>
        <v>0</v>
      </c>
      <c r="H77" s="137">
        <f t="shared" si="133"/>
        <v>0</v>
      </c>
      <c r="I77" s="137">
        <f t="shared" si="133"/>
        <v>0</v>
      </c>
      <c r="J77" s="137">
        <f t="shared" si="133"/>
        <v>0</v>
      </c>
      <c r="K77" s="130">
        <f t="shared" si="133"/>
        <v>0</v>
      </c>
      <c r="L77" s="137">
        <f t="shared" si="133"/>
        <v>0</v>
      </c>
      <c r="M77" s="137">
        <f t="shared" si="133"/>
        <v>0</v>
      </c>
      <c r="N77" s="137">
        <f t="shared" si="133"/>
        <v>0</v>
      </c>
      <c r="O77" s="137">
        <f t="shared" si="133"/>
        <v>0</v>
      </c>
      <c r="P77" s="130">
        <f t="shared" si="133"/>
        <v>0</v>
      </c>
      <c r="Q77" s="137">
        <f t="shared" si="133"/>
        <v>0</v>
      </c>
      <c r="R77" s="137">
        <f t="shared" si="133"/>
        <v>0</v>
      </c>
      <c r="S77" s="137">
        <f t="shared" si="133"/>
        <v>0</v>
      </c>
      <c r="T77" s="137">
        <f t="shared" si="133"/>
        <v>0</v>
      </c>
      <c r="U77" s="130">
        <f t="shared" si="133"/>
        <v>0</v>
      </c>
      <c r="V77" s="137">
        <f t="shared" si="133"/>
        <v>0</v>
      </c>
      <c r="W77" s="137">
        <f t="shared" si="133"/>
        <v>0</v>
      </c>
      <c r="X77" s="137">
        <f t="shared" si="133"/>
        <v>0</v>
      </c>
      <c r="Y77" s="137">
        <f t="shared" si="133"/>
        <v>0</v>
      </c>
      <c r="Z77" s="130">
        <f t="shared" si="133"/>
        <v>0</v>
      </c>
      <c r="AA77" s="137">
        <f t="shared" si="133"/>
        <v>0</v>
      </c>
      <c r="AB77" s="137">
        <f t="shared" si="133"/>
        <v>0</v>
      </c>
      <c r="AC77" s="137">
        <f t="shared" si="133"/>
        <v>0</v>
      </c>
      <c r="AD77" s="137">
        <f t="shared" si="133"/>
        <v>0</v>
      </c>
      <c r="AE77" s="130">
        <f t="shared" si="133"/>
        <v>0</v>
      </c>
      <c r="AF77" s="137">
        <f t="shared" si="133"/>
        <v>0</v>
      </c>
      <c r="AG77" s="137">
        <f t="shared" si="133"/>
        <v>0</v>
      </c>
      <c r="AH77" s="137">
        <f t="shared" si="133"/>
        <v>0</v>
      </c>
      <c r="AI77" s="137">
        <f t="shared" ref="AI77:AY77" si="134">INDEX(MO_CFSum_DPS,0,COLUMN())</f>
        <v>0</v>
      </c>
      <c r="AJ77" s="130">
        <f t="shared" si="134"/>
        <v>0</v>
      </c>
      <c r="AK77" s="137">
        <f t="shared" si="134"/>
        <v>0</v>
      </c>
      <c r="AL77" s="137">
        <f t="shared" si="134"/>
        <v>0</v>
      </c>
      <c r="AM77" s="137">
        <f t="shared" si="134"/>
        <v>0</v>
      </c>
      <c r="AN77" s="137">
        <f t="shared" si="134"/>
        <v>0</v>
      </c>
      <c r="AO77" s="130">
        <f t="shared" si="134"/>
        <v>0</v>
      </c>
      <c r="AP77" s="137">
        <f t="shared" si="134"/>
        <v>0</v>
      </c>
      <c r="AQ77" s="137">
        <f t="shared" si="134"/>
        <v>0</v>
      </c>
      <c r="AR77" s="137">
        <f>INDEX(MO_CFSum_DPS,0,COLUMN())</f>
        <v>0</v>
      </c>
      <c r="AS77" s="137">
        <f>INDEX(MO_CFSum_DPS,0,COLUMN())</f>
        <v>0</v>
      </c>
      <c r="AT77" s="130">
        <f>INDEX(MO_CFSum_DPS,0,COLUMN())</f>
        <v>0</v>
      </c>
      <c r="AU77" s="137">
        <f t="shared" si="134"/>
        <v>0</v>
      </c>
      <c r="AV77" s="137">
        <f>INDEX(MO_CFSum_DPS,0,COLUMN())</f>
        <v>0</v>
      </c>
      <c r="AW77" s="763">
        <f>INDEX(MO_CFSum_DPS,0,COLUMN())</f>
        <v>0</v>
      </c>
      <c r="AX77" s="137">
        <f t="shared" si="134"/>
        <v>0</v>
      </c>
      <c r="AY77" s="130">
        <f t="shared" si="134"/>
        <v>0</v>
      </c>
      <c r="AZ77" s="137">
        <f t="shared" ref="AZ77:BG77" si="135">INDEX(MO_CFSum_DPS,0,COLUMN())</f>
        <v>0</v>
      </c>
      <c r="BA77" s="137">
        <f t="shared" si="135"/>
        <v>0</v>
      </c>
      <c r="BB77" s="137">
        <f t="shared" si="135"/>
        <v>0</v>
      </c>
      <c r="BC77" s="137">
        <f t="shared" si="135"/>
        <v>0</v>
      </c>
      <c r="BD77" s="130">
        <f t="shared" si="135"/>
        <v>0</v>
      </c>
      <c r="BE77" s="130">
        <f t="shared" si="135"/>
        <v>0</v>
      </c>
      <c r="BF77" s="130">
        <f t="shared" si="135"/>
        <v>0</v>
      </c>
      <c r="BG77" s="130">
        <f t="shared" si="135"/>
        <v>0</v>
      </c>
      <c r="BH77" s="137"/>
    </row>
    <row r="78" spans="1:60" s="79" customFormat="1" ht="15" customHeight="1" x14ac:dyDescent="0.25">
      <c r="A78" s="344" t="s">
        <v>398</v>
      </c>
      <c r="B78" s="345"/>
      <c r="C78" s="144"/>
      <c r="D78" s="144">
        <f t="shared" ref="D78:AI78" si="136">D77/D76</f>
        <v>0</v>
      </c>
      <c r="E78" s="144">
        <f t="shared" si="136"/>
        <v>0</v>
      </c>
      <c r="F78" s="144">
        <f t="shared" si="136"/>
        <v>0</v>
      </c>
      <c r="G78" s="145">
        <f t="shared" si="136"/>
        <v>0</v>
      </c>
      <c r="H78" s="145">
        <f t="shared" si="136"/>
        <v>0</v>
      </c>
      <c r="I78" s="145">
        <f t="shared" si="136"/>
        <v>0</v>
      </c>
      <c r="J78" s="145">
        <f t="shared" si="136"/>
        <v>0</v>
      </c>
      <c r="K78" s="144">
        <f t="shared" si="136"/>
        <v>0</v>
      </c>
      <c r="L78" s="145">
        <f t="shared" si="136"/>
        <v>0</v>
      </c>
      <c r="M78" s="145">
        <f t="shared" si="136"/>
        <v>0</v>
      </c>
      <c r="N78" s="145">
        <f t="shared" si="136"/>
        <v>0</v>
      </c>
      <c r="O78" s="145">
        <f t="shared" si="136"/>
        <v>0</v>
      </c>
      <c r="P78" s="144">
        <f t="shared" si="136"/>
        <v>0</v>
      </c>
      <c r="Q78" s="145">
        <f t="shared" si="136"/>
        <v>0</v>
      </c>
      <c r="R78" s="145">
        <f t="shared" si="136"/>
        <v>0</v>
      </c>
      <c r="S78" s="145">
        <f t="shared" si="136"/>
        <v>0</v>
      </c>
      <c r="T78" s="145">
        <f t="shared" si="136"/>
        <v>0</v>
      </c>
      <c r="U78" s="144">
        <f t="shared" si="136"/>
        <v>0</v>
      </c>
      <c r="V78" s="145">
        <f t="shared" si="136"/>
        <v>0</v>
      </c>
      <c r="W78" s="145">
        <f t="shared" si="136"/>
        <v>0</v>
      </c>
      <c r="X78" s="145">
        <f t="shared" si="136"/>
        <v>0</v>
      </c>
      <c r="Y78" s="145">
        <f t="shared" si="136"/>
        <v>0</v>
      </c>
      <c r="Z78" s="144">
        <f t="shared" si="136"/>
        <v>0</v>
      </c>
      <c r="AA78" s="145">
        <f t="shared" si="136"/>
        <v>0</v>
      </c>
      <c r="AB78" s="145">
        <f t="shared" si="136"/>
        <v>0</v>
      </c>
      <c r="AC78" s="145">
        <f t="shared" si="136"/>
        <v>0</v>
      </c>
      <c r="AD78" s="145">
        <f t="shared" si="136"/>
        <v>0</v>
      </c>
      <c r="AE78" s="144">
        <f t="shared" si="136"/>
        <v>0</v>
      </c>
      <c r="AF78" s="145">
        <f t="shared" si="136"/>
        <v>0</v>
      </c>
      <c r="AG78" s="145">
        <f t="shared" si="136"/>
        <v>0</v>
      </c>
      <c r="AH78" s="145">
        <f t="shared" si="136"/>
        <v>0</v>
      </c>
      <c r="AI78" s="145">
        <f t="shared" si="136"/>
        <v>0</v>
      </c>
      <c r="AJ78" s="144">
        <f t="shared" ref="AJ78:AY78" si="137">AJ77/AJ76</f>
        <v>0</v>
      </c>
      <c r="AK78" s="145">
        <f t="shared" si="137"/>
        <v>0</v>
      </c>
      <c r="AL78" s="145">
        <f t="shared" si="137"/>
        <v>0</v>
      </c>
      <c r="AM78" s="145">
        <f t="shared" si="137"/>
        <v>0</v>
      </c>
      <c r="AN78" s="145">
        <f t="shared" si="137"/>
        <v>0</v>
      </c>
      <c r="AO78" s="144">
        <f t="shared" si="137"/>
        <v>0</v>
      </c>
      <c r="AP78" s="145">
        <f t="shared" si="137"/>
        <v>0</v>
      </c>
      <c r="AQ78" s="145">
        <f t="shared" si="137"/>
        <v>0</v>
      </c>
      <c r="AR78" s="145">
        <f>AR77/AR76</f>
        <v>0</v>
      </c>
      <c r="AS78" s="145">
        <f>AS77/AS76</f>
        <v>0</v>
      </c>
      <c r="AT78" s="144">
        <f>AT77/AT76</f>
        <v>0</v>
      </c>
      <c r="AU78" s="145">
        <f t="shared" ref="AU78" si="138">AU77/AU76</f>
        <v>0</v>
      </c>
      <c r="AV78" s="145">
        <f>AV77/AV76</f>
        <v>0</v>
      </c>
      <c r="AW78" s="767">
        <f>AW77/AW76</f>
        <v>0</v>
      </c>
      <c r="AX78" s="145">
        <f t="shared" ca="1" si="137"/>
        <v>0</v>
      </c>
      <c r="AY78" s="144">
        <f t="shared" ca="1" si="137"/>
        <v>0</v>
      </c>
      <c r="AZ78" s="145">
        <f t="shared" ref="AZ78:BG78" ca="1" si="139">AZ77/AZ76</f>
        <v>0</v>
      </c>
      <c r="BA78" s="145">
        <f t="shared" ca="1" si="139"/>
        <v>0</v>
      </c>
      <c r="BB78" s="145">
        <f t="shared" ca="1" si="139"/>
        <v>0</v>
      </c>
      <c r="BC78" s="145">
        <f t="shared" ca="1" si="139"/>
        <v>0</v>
      </c>
      <c r="BD78" s="144">
        <f t="shared" ca="1" si="139"/>
        <v>0</v>
      </c>
      <c r="BE78" s="144">
        <f t="shared" ca="1" si="139"/>
        <v>0</v>
      </c>
      <c r="BF78" s="144">
        <f t="shared" ca="1" si="139"/>
        <v>0</v>
      </c>
      <c r="BG78" s="144">
        <f t="shared" ca="1" si="139"/>
        <v>0</v>
      </c>
      <c r="BH78" s="384"/>
    </row>
    <row r="79" spans="1:60" s="79" customFormat="1" ht="15" customHeight="1" x14ac:dyDescent="0.25">
      <c r="A79" s="344" t="s">
        <v>399</v>
      </c>
      <c r="B79" s="345"/>
      <c r="C79" s="144">
        <f t="shared" ref="C79:AH79" si="140">C77/C50</f>
        <v>0</v>
      </c>
      <c r="D79" s="144">
        <f t="shared" si="140"/>
        <v>0</v>
      </c>
      <c r="E79" s="144">
        <f t="shared" si="140"/>
        <v>0</v>
      </c>
      <c r="F79" s="144">
        <f t="shared" si="140"/>
        <v>0</v>
      </c>
      <c r="G79" s="145">
        <f t="shared" si="140"/>
        <v>0</v>
      </c>
      <c r="H79" s="145">
        <f t="shared" si="140"/>
        <v>0</v>
      </c>
      <c r="I79" s="145">
        <f t="shared" si="140"/>
        <v>0</v>
      </c>
      <c r="J79" s="145">
        <f t="shared" si="140"/>
        <v>0</v>
      </c>
      <c r="K79" s="144">
        <f t="shared" si="140"/>
        <v>0</v>
      </c>
      <c r="L79" s="145">
        <f t="shared" si="140"/>
        <v>0</v>
      </c>
      <c r="M79" s="145">
        <f t="shared" si="140"/>
        <v>0</v>
      </c>
      <c r="N79" s="145">
        <f t="shared" si="140"/>
        <v>0</v>
      </c>
      <c r="O79" s="145">
        <f t="shared" si="140"/>
        <v>0</v>
      </c>
      <c r="P79" s="144">
        <f t="shared" si="140"/>
        <v>0</v>
      </c>
      <c r="Q79" s="145">
        <f t="shared" si="140"/>
        <v>0</v>
      </c>
      <c r="R79" s="145">
        <f t="shared" si="140"/>
        <v>0</v>
      </c>
      <c r="S79" s="145">
        <f t="shared" si="140"/>
        <v>0</v>
      </c>
      <c r="T79" s="145">
        <f t="shared" si="140"/>
        <v>0</v>
      </c>
      <c r="U79" s="144">
        <f t="shared" si="140"/>
        <v>0</v>
      </c>
      <c r="V79" s="145">
        <f t="shared" si="140"/>
        <v>0</v>
      </c>
      <c r="W79" s="145">
        <f t="shared" si="140"/>
        <v>0</v>
      </c>
      <c r="X79" s="145">
        <f t="shared" si="140"/>
        <v>0</v>
      </c>
      <c r="Y79" s="145">
        <f t="shared" si="140"/>
        <v>0</v>
      </c>
      <c r="Z79" s="144">
        <f t="shared" si="140"/>
        <v>0</v>
      </c>
      <c r="AA79" s="145">
        <f t="shared" si="140"/>
        <v>0</v>
      </c>
      <c r="AB79" s="145">
        <f t="shared" si="140"/>
        <v>0</v>
      </c>
      <c r="AC79" s="145">
        <f t="shared" si="140"/>
        <v>0</v>
      </c>
      <c r="AD79" s="145">
        <f t="shared" si="140"/>
        <v>0</v>
      </c>
      <c r="AE79" s="144">
        <f t="shared" si="140"/>
        <v>0</v>
      </c>
      <c r="AF79" s="145">
        <f t="shared" si="140"/>
        <v>0</v>
      </c>
      <c r="AG79" s="145">
        <f t="shared" si="140"/>
        <v>0</v>
      </c>
      <c r="AH79" s="145">
        <f t="shared" si="140"/>
        <v>0</v>
      </c>
      <c r="AI79" s="145">
        <f t="shared" ref="AI79:AY79" si="141">AI77/AI50</f>
        <v>0</v>
      </c>
      <c r="AJ79" s="144">
        <f t="shared" si="141"/>
        <v>0</v>
      </c>
      <c r="AK79" s="145">
        <f t="shared" si="141"/>
        <v>0</v>
      </c>
      <c r="AL79" s="145">
        <f t="shared" si="141"/>
        <v>0</v>
      </c>
      <c r="AM79" s="145">
        <f t="shared" si="141"/>
        <v>0</v>
      </c>
      <c r="AN79" s="145">
        <f t="shared" si="141"/>
        <v>0</v>
      </c>
      <c r="AO79" s="144">
        <f t="shared" si="141"/>
        <v>0</v>
      </c>
      <c r="AP79" s="145">
        <f t="shared" si="141"/>
        <v>0</v>
      </c>
      <c r="AQ79" s="145">
        <f t="shared" si="141"/>
        <v>0</v>
      </c>
      <c r="AR79" s="145">
        <f>AR77/AR50</f>
        <v>0</v>
      </c>
      <c r="AS79" s="145">
        <f>AS77/AS50</f>
        <v>0</v>
      </c>
      <c r="AT79" s="144">
        <f>AT77/AT50</f>
        <v>0</v>
      </c>
      <c r="AU79" s="145">
        <f t="shared" ref="AU79" si="142">AU77/AU50</f>
        <v>0</v>
      </c>
      <c r="AV79" s="145">
        <f>AV77/AV50</f>
        <v>0</v>
      </c>
      <c r="AW79" s="767">
        <f>AW77/AW50</f>
        <v>0</v>
      </c>
      <c r="AX79" s="145">
        <f t="shared" ca="1" si="141"/>
        <v>0</v>
      </c>
      <c r="AY79" s="144">
        <f t="shared" ca="1" si="141"/>
        <v>0</v>
      </c>
      <c r="AZ79" s="145">
        <f t="shared" ref="AZ79:BG79" ca="1" si="143">AZ77/AZ50</f>
        <v>0</v>
      </c>
      <c r="BA79" s="145">
        <f t="shared" ca="1" si="143"/>
        <v>0</v>
      </c>
      <c r="BB79" s="145">
        <f t="shared" ca="1" si="143"/>
        <v>0</v>
      </c>
      <c r="BC79" s="145">
        <f t="shared" ca="1" si="143"/>
        <v>0</v>
      </c>
      <c r="BD79" s="144">
        <f t="shared" ca="1" si="143"/>
        <v>0</v>
      </c>
      <c r="BE79" s="144">
        <f t="shared" ca="1" si="143"/>
        <v>0</v>
      </c>
      <c r="BF79" s="144">
        <f t="shared" ca="1" si="143"/>
        <v>0</v>
      </c>
      <c r="BG79" s="144">
        <f t="shared" ca="1" si="143"/>
        <v>0</v>
      </c>
      <c r="BH79" s="384"/>
    </row>
    <row r="80" spans="1:60" s="74" customFormat="1" ht="15" customHeight="1" x14ac:dyDescent="0.25">
      <c r="A80" s="339"/>
      <c r="B80" s="341"/>
      <c r="C80" s="130"/>
      <c r="D80" s="130"/>
      <c r="E80" s="130"/>
      <c r="F80" s="130"/>
      <c r="G80" s="137"/>
      <c r="H80" s="137"/>
      <c r="I80" s="137"/>
      <c r="J80" s="137"/>
      <c r="K80" s="130"/>
      <c r="L80" s="137"/>
      <c r="M80" s="137"/>
      <c r="N80" s="137"/>
      <c r="O80" s="137"/>
      <c r="P80" s="130"/>
      <c r="Q80" s="137"/>
      <c r="R80" s="137"/>
      <c r="S80" s="137"/>
      <c r="T80" s="137"/>
      <c r="U80" s="130"/>
      <c r="V80" s="137"/>
      <c r="W80" s="137"/>
      <c r="X80" s="137"/>
      <c r="Y80" s="137"/>
      <c r="Z80" s="130"/>
      <c r="AA80" s="137"/>
      <c r="AB80" s="137"/>
      <c r="AC80" s="137"/>
      <c r="AD80" s="137"/>
      <c r="AE80" s="130"/>
      <c r="AF80" s="137"/>
      <c r="AG80" s="137"/>
      <c r="AH80" s="137"/>
      <c r="AI80" s="137"/>
      <c r="AJ80" s="130"/>
      <c r="AK80" s="137"/>
      <c r="AL80" s="137"/>
      <c r="AM80" s="137"/>
      <c r="AN80" s="137"/>
      <c r="AO80" s="130"/>
      <c r="AP80" s="137"/>
      <c r="AQ80" s="137"/>
      <c r="AR80" s="137"/>
      <c r="AS80" s="137"/>
      <c r="AT80" s="130"/>
      <c r="AU80" s="137"/>
      <c r="AV80" s="137"/>
      <c r="AW80" s="763"/>
      <c r="AX80" s="137"/>
      <c r="AY80" s="130"/>
      <c r="AZ80" s="137"/>
      <c r="BA80" s="137"/>
      <c r="BB80" s="137"/>
      <c r="BC80" s="137"/>
      <c r="BD80" s="130"/>
      <c r="BE80" s="130"/>
      <c r="BF80" s="130"/>
      <c r="BG80" s="130"/>
      <c r="BH80" s="137"/>
    </row>
    <row r="81" spans="1:60" ht="15" customHeight="1" x14ac:dyDescent="0.25">
      <c r="A81" s="199" t="s">
        <v>400</v>
      </c>
      <c r="B81" s="1033"/>
      <c r="C81" s="1092"/>
      <c r="D81" s="1092"/>
      <c r="E81" s="1092"/>
      <c r="F81" s="1092"/>
      <c r="G81" s="1092"/>
      <c r="H81" s="1092"/>
      <c r="I81" s="1092"/>
      <c r="J81" s="1092"/>
      <c r="K81" s="1092"/>
      <c r="L81" s="1092"/>
      <c r="M81" s="1092"/>
      <c r="N81" s="1092"/>
      <c r="O81" s="1092"/>
      <c r="P81" s="1092"/>
      <c r="Q81" s="1092"/>
      <c r="R81" s="1092"/>
      <c r="S81" s="1092"/>
      <c r="T81" s="1092"/>
      <c r="U81" s="1092"/>
      <c r="V81" s="1092"/>
      <c r="W81" s="1092"/>
      <c r="X81" s="1092"/>
      <c r="Y81" s="1092"/>
      <c r="Z81" s="1092"/>
      <c r="AA81" s="1092"/>
      <c r="AB81" s="1092"/>
      <c r="AC81" s="1092"/>
      <c r="AD81" s="1092"/>
      <c r="AE81" s="1092"/>
      <c r="AF81" s="1092"/>
      <c r="AG81" s="1092"/>
      <c r="AH81" s="1092"/>
      <c r="AI81" s="1092"/>
      <c r="AJ81" s="1092"/>
      <c r="AK81" s="1092"/>
      <c r="AL81" s="1092"/>
      <c r="AM81" s="1092"/>
      <c r="AN81" s="1092"/>
      <c r="AO81" s="1092"/>
      <c r="AP81" s="1092"/>
      <c r="AQ81" s="1092"/>
      <c r="AR81" s="1092"/>
      <c r="AS81" s="1092"/>
      <c r="AT81" s="1092"/>
      <c r="AU81" s="1092"/>
      <c r="AV81" s="1092"/>
      <c r="AW81" s="1093"/>
      <c r="AX81" s="1092"/>
      <c r="AY81" s="1092"/>
      <c r="AZ81" s="1092"/>
      <c r="BA81" s="1092"/>
      <c r="BB81" s="1092"/>
      <c r="BC81" s="1092"/>
      <c r="BD81" s="1092"/>
      <c r="BE81" s="1092"/>
      <c r="BF81" s="1092"/>
      <c r="BG81" s="1092"/>
      <c r="BH81" s="1030"/>
    </row>
    <row r="82" spans="1:60" s="80" customFormat="1" ht="15" customHeight="1" x14ac:dyDescent="0.25">
      <c r="A82" s="346" t="s">
        <v>162</v>
      </c>
      <c r="B82" s="347"/>
      <c r="C82" s="578">
        <f>INDEX(MO_BSS_Debt_Net,0,COLUMN())/INDEX(SP_BSR_EBITDA_LTM,0,COLUMN())</f>
        <v>1.5348895986030373</v>
      </c>
      <c r="D82" s="578">
        <f>INDEX(MO_BSS_Debt_Net,0,COLUMN())/INDEX(SP_BSR_EBITDA_LTM,0,COLUMN())</f>
        <v>0.87391686004571567</v>
      </c>
      <c r="E82" s="578">
        <f>INDEX(MO_BSS_Debt_Net,0,COLUMN())/INDEX(SP_BSR_EBITDA_LTM,0,COLUMN())</f>
        <v>0.11530587375091414</v>
      </c>
      <c r="F82" s="578">
        <f>INDEX(MO_BSS_Debt_Net,0,COLUMN())/INDEX(SP_BSR_EBITDA_LTM,0,COLUMN())</f>
        <v>-0.77916863560969585</v>
      </c>
      <c r="G82" s="146"/>
      <c r="H82" s="146"/>
      <c r="I82" s="146"/>
      <c r="J82" s="146">
        <f t="shared" ref="J82:AY82" si="144">INDEX(MO_BSS_Debt_Net,0,COLUMN())/INDEX(SP_BSR_EBITDA_LTM,0,COLUMN())</f>
        <v>-1.7346334680771747</v>
      </c>
      <c r="K82" s="578">
        <f t="shared" si="144"/>
        <v>-1.7346334680771747</v>
      </c>
      <c r="L82" s="146">
        <f t="shared" si="144"/>
        <v>-2.5600585057002956</v>
      </c>
      <c r="M82" s="146">
        <f t="shared" si="144"/>
        <v>-1.2980985539769754</v>
      </c>
      <c r="N82" s="146">
        <f t="shared" si="144"/>
        <v>0.35500164853280552</v>
      </c>
      <c r="O82" s="146">
        <f t="shared" si="144"/>
        <v>2.7977594924159845</v>
      </c>
      <c r="P82" s="578">
        <f t="shared" si="144"/>
        <v>2.7977872289801571</v>
      </c>
      <c r="Q82" s="146">
        <f t="shared" si="144"/>
        <v>5.7870264095819213</v>
      </c>
      <c r="R82" s="146">
        <f t="shared" si="144"/>
        <v>17.867053861740729</v>
      </c>
      <c r="S82" s="146">
        <f t="shared" si="144"/>
        <v>468.75000000000171</v>
      </c>
      <c r="T82" s="146">
        <f t="shared" si="144"/>
        <v>-15.577363598500652</v>
      </c>
      <c r="U82" s="578">
        <f t="shared" si="144"/>
        <v>-15.577363598500636</v>
      </c>
      <c r="V82" s="146">
        <f t="shared" si="144"/>
        <v>-14.645076355976835</v>
      </c>
      <c r="W82" s="147">
        <f t="shared" si="144"/>
        <v>-0.19372044024694113</v>
      </c>
      <c r="X82" s="147">
        <f t="shared" si="144"/>
        <v>-0.96909326584778677</v>
      </c>
      <c r="Y82" s="147">
        <f t="shared" si="144"/>
        <v>5.9117303113120627</v>
      </c>
      <c r="Z82" s="578">
        <f t="shared" si="144"/>
        <v>5.9117110543597278</v>
      </c>
      <c r="AA82" s="147">
        <f t="shared" si="144"/>
        <v>4.8564907809298132</v>
      </c>
      <c r="AB82" s="147">
        <f t="shared" si="144"/>
        <v>4.3911660181249399</v>
      </c>
      <c r="AC82" s="147">
        <f t="shared" si="144"/>
        <v>10.34644493616355</v>
      </c>
      <c r="AD82" s="147">
        <f t="shared" si="144"/>
        <v>14.429430373695787</v>
      </c>
      <c r="AE82" s="578">
        <f t="shared" si="144"/>
        <v>14.429430373695743</v>
      </c>
      <c r="AF82" s="147">
        <f t="shared" si="144"/>
        <v>38.197318071885419</v>
      </c>
      <c r="AG82" s="147">
        <f t="shared" si="144"/>
        <v>1615.6131233600531</v>
      </c>
      <c r="AH82" s="147">
        <f t="shared" si="144"/>
        <v>7.5097289772510418</v>
      </c>
      <c r="AI82" s="147">
        <f t="shared" si="144"/>
        <v>3.5778949699845417</v>
      </c>
      <c r="AJ82" s="578">
        <f t="shared" si="144"/>
        <v>3.5778949699845395</v>
      </c>
      <c r="AK82" s="147">
        <f t="shared" si="144"/>
        <v>3.7326658594093352</v>
      </c>
      <c r="AL82" s="147">
        <f t="shared" si="144"/>
        <v>2.634410581503067</v>
      </c>
      <c r="AM82" s="147">
        <f t="shared" si="144"/>
        <v>2.697170747010798</v>
      </c>
      <c r="AN82" s="147">
        <f t="shared" si="144"/>
        <v>2.3147837747234337</v>
      </c>
      <c r="AO82" s="578">
        <f t="shared" si="144"/>
        <v>2.3147837747234328</v>
      </c>
      <c r="AP82" s="147">
        <f t="shared" si="144"/>
        <v>1.4628950977791861</v>
      </c>
      <c r="AQ82" s="147">
        <f t="shared" si="144"/>
        <v>1.1835230284310214</v>
      </c>
      <c r="AR82" s="147">
        <f>INDEX(MO_BSS_Debt_Net,0,COLUMN())/INDEX(SP_BSR_EBITDA_LTM,0,COLUMN())</f>
        <v>-0.17864205572161834</v>
      </c>
      <c r="AS82" s="147">
        <f>INDEX(MO_BSS_Debt_Net,0,COLUMN())/INDEX(SP_BSR_EBITDA_LTM,0,COLUMN())</f>
        <v>-1.3029752066115703</v>
      </c>
      <c r="AT82" s="578">
        <f>INDEX(MO_BSS_Debt_Net,0,COLUMN())/INDEX(SP_BSR_EBITDA_LTM,0,COLUMN())</f>
        <v>-1.3029752066115703</v>
      </c>
      <c r="AU82" s="147">
        <f t="shared" si="144"/>
        <v>-0.96223653395784547</v>
      </c>
      <c r="AV82" s="147">
        <f>INDEX(MO_BSS_Debt_Net,0,COLUMN())/INDEX(SP_BSR_EBITDA_LTM,0,COLUMN())</f>
        <v>-0.88781335318937704</v>
      </c>
      <c r="AW82" s="768">
        <f>INDEX(MO_BSS_Debt_Net,0,COLUMN())/INDEX(SP_BSR_EBITDA_LTM,0,COLUMN())</f>
        <v>-0.88314462721640674</v>
      </c>
      <c r="AX82" s="147">
        <f t="shared" ca="1" si="144"/>
        <v>-0.85582688956539399</v>
      </c>
      <c r="AY82" s="578">
        <f t="shared" ca="1" si="144"/>
        <v>-0.85582688956539399</v>
      </c>
      <c r="AZ82" s="147">
        <f t="shared" ref="AZ82:BG82" ca="1" si="145">INDEX(MO_BSS_Debt_Net,0,COLUMN())/INDEX(SP_BSR_EBITDA_LTM,0,COLUMN())</f>
        <v>-0.86883762537709353</v>
      </c>
      <c r="BA82" s="147">
        <f t="shared" ca="1" si="145"/>
        <v>-0.92004643490378291</v>
      </c>
      <c r="BB82" s="147">
        <f t="shared" ca="1" si="145"/>
        <v>-1.0891756395685215</v>
      </c>
      <c r="BC82" s="147">
        <f t="shared" ca="1" si="145"/>
        <v>-1.0981469830067907</v>
      </c>
      <c r="BD82" s="578">
        <f t="shared" ca="1" si="145"/>
        <v>-1.0981469830067907</v>
      </c>
      <c r="BE82" s="578">
        <f t="shared" ca="1" si="145"/>
        <v>-1.4080774214909397</v>
      </c>
      <c r="BF82" s="578">
        <f t="shared" ca="1" si="145"/>
        <v>-1.7225765256794892</v>
      </c>
      <c r="BG82" s="578">
        <f t="shared" ca="1" si="145"/>
        <v>-2.0376049135115255</v>
      </c>
      <c r="BH82" s="147"/>
    </row>
    <row r="83" spans="1:60" s="80" customFormat="1" ht="15" customHeight="1" x14ac:dyDescent="0.25">
      <c r="A83" s="346" t="s">
        <v>163</v>
      </c>
      <c r="B83" s="347"/>
      <c r="C83" s="578">
        <f>INDEX(MO_BSS_Debt_Net,0,COLUMN())/INDEX(SP_BSR_CashFlow_LTM,0,COLUMN())</f>
        <v>1.5434360704218841</v>
      </c>
      <c r="D83" s="578">
        <f>INDEX(MO_BSS_Debt_Net,0,COLUMN())/INDEX(SP_BSR_CashFlow_LTM,0,COLUMN())</f>
        <v>0.86260380207260978</v>
      </c>
      <c r="E83" s="578">
        <f>INDEX(MO_BSS_Debt_Net,0,COLUMN())/INDEX(SP_BSR_CashFlow_LTM,0,COLUMN())</f>
        <v>0.11637689287717347</v>
      </c>
      <c r="F83" s="578">
        <f>INDEX(MO_BSS_Debt_Net,0,COLUMN())/INDEX(SP_BSR_CashFlow_LTM,0,COLUMN())</f>
        <v>-0.79534477177079943</v>
      </c>
      <c r="G83" s="146"/>
      <c r="H83" s="146"/>
      <c r="I83" s="146"/>
      <c r="J83" s="146">
        <f t="shared" ref="J83:AY83" si="146">INDEX(MO_BSS_Debt_Net,0,COLUMN())/INDEX(SP_BSR_CashFlow_LTM,0,COLUMN())</f>
        <v>-2.089178737289159</v>
      </c>
      <c r="K83" s="578">
        <f t="shared" si="146"/>
        <v>-2.089178737289159</v>
      </c>
      <c r="L83" s="146">
        <f t="shared" si="146"/>
        <v>-3.1194508418851035</v>
      </c>
      <c r="M83" s="146">
        <f t="shared" si="146"/>
        <v>-1.4811193463158083</v>
      </c>
      <c r="N83" s="146">
        <f t="shared" si="146"/>
        <v>0.38628666551862656</v>
      </c>
      <c r="O83" s="146">
        <f t="shared" si="146"/>
        <v>2.8293431183830609</v>
      </c>
      <c r="P83" s="578">
        <f t="shared" si="146"/>
        <v>2.8293431183830609</v>
      </c>
      <c r="Q83" s="146">
        <f t="shared" si="146"/>
        <v>5.8332521450318318</v>
      </c>
      <c r="R83" s="146">
        <f t="shared" si="146"/>
        <v>17.31269834022055</v>
      </c>
      <c r="S83" s="146">
        <f t="shared" si="146"/>
        <v>122.56736526946057</v>
      </c>
      <c r="T83" s="146">
        <f t="shared" si="146"/>
        <v>-47.934956744633091</v>
      </c>
      <c r="U83" s="578">
        <f t="shared" si="146"/>
        <v>-47.934956744632998</v>
      </c>
      <c r="V83" s="146">
        <f t="shared" si="146"/>
        <v>-51.133948217138368</v>
      </c>
      <c r="W83" s="147">
        <f t="shared" si="146"/>
        <v>-1.0223950233281549</v>
      </c>
      <c r="X83" s="147">
        <f t="shared" si="146"/>
        <v>-0.85812073816743606</v>
      </c>
      <c r="Y83" s="147">
        <f t="shared" si="146"/>
        <v>6.3675302439161303</v>
      </c>
      <c r="Z83" s="578">
        <f t="shared" si="146"/>
        <v>6.3675302439161303</v>
      </c>
      <c r="AA83" s="147">
        <f t="shared" si="146"/>
        <v>5.4935778752577278</v>
      </c>
      <c r="AB83" s="147">
        <f t="shared" si="146"/>
        <v>4.6423230449204471</v>
      </c>
      <c r="AC83" s="147">
        <f t="shared" si="146"/>
        <v>12.158553890642438</v>
      </c>
      <c r="AD83" s="147">
        <f t="shared" si="146"/>
        <v>15.578888814976068</v>
      </c>
      <c r="AE83" s="578">
        <f t="shared" si="146"/>
        <v>15.578888814976066</v>
      </c>
      <c r="AF83" s="147">
        <f t="shared" si="146"/>
        <v>46.90813974004589</v>
      </c>
      <c r="AG83" s="147">
        <f t="shared" si="146"/>
        <v>-125.50946089225971</v>
      </c>
      <c r="AH83" s="147">
        <f t="shared" si="146"/>
        <v>8.5066816359956015</v>
      </c>
      <c r="AI83" s="147">
        <f t="shared" si="146"/>
        <v>3.9675456687767894</v>
      </c>
      <c r="AJ83" s="578">
        <f t="shared" si="146"/>
        <v>3.9675456687767894</v>
      </c>
      <c r="AK83" s="147">
        <f t="shared" si="146"/>
        <v>4.2639738779581791</v>
      </c>
      <c r="AL83" s="147">
        <f t="shared" si="146"/>
        <v>2.9544168731999245</v>
      </c>
      <c r="AM83" s="147">
        <f t="shared" si="146"/>
        <v>2.9943984098711893</v>
      </c>
      <c r="AN83" s="147">
        <f t="shared" si="146"/>
        <v>2.5072621641249091</v>
      </c>
      <c r="AO83" s="578">
        <f t="shared" si="146"/>
        <v>2.5072621641249091</v>
      </c>
      <c r="AP83" s="147">
        <f t="shared" si="146"/>
        <v>1.5223499498591087</v>
      </c>
      <c r="AQ83" s="147">
        <f t="shared" si="146"/>
        <v>1.2209597555969449</v>
      </c>
      <c r="AR83" s="147">
        <f>INDEX(MO_BSS_Debt_Net,0,COLUMN())/INDEX(SP_BSR_CashFlow_LTM,0,COLUMN())</f>
        <v>-0.18778979907264295</v>
      </c>
      <c r="AS83" s="147">
        <f>INDEX(MO_BSS_Debt_Net,0,COLUMN())/INDEX(SP_BSR_CashFlow_LTM,0,COLUMN())</f>
        <v>-1.3688140302135787</v>
      </c>
      <c r="AT83" s="578">
        <f>INDEX(MO_BSS_Debt_Net,0,COLUMN())/INDEX(SP_BSR_CashFlow_LTM,0,COLUMN())</f>
        <v>-1.3688140302135787</v>
      </c>
      <c r="AU83" s="147">
        <f t="shared" si="146"/>
        <v>-1.0263856362217019</v>
      </c>
      <c r="AV83" s="147">
        <f>INDEX(MO_BSS_Debt_Net,0,COLUMN())/INDEX(SP_BSR_CashFlow_LTM,0,COLUMN())</f>
        <v>-0.93601988747873877</v>
      </c>
      <c r="AW83" s="768">
        <f>INDEX(MO_BSS_Debt_Net,0,COLUMN())/INDEX(SP_BSR_CashFlow_LTM,0,COLUMN())</f>
        <v>-0.91602038555284737</v>
      </c>
      <c r="AX83" s="147">
        <f t="shared" ca="1" si="146"/>
        <v>-0.93057782638889219</v>
      </c>
      <c r="AY83" s="578">
        <f t="shared" ca="1" si="146"/>
        <v>-0.93057782638889219</v>
      </c>
      <c r="AZ83" s="147">
        <f t="shared" ref="AZ83:BG83" ca="1" si="147">INDEX(MO_BSS_Debt_Net,0,COLUMN())/INDEX(SP_BSR_CashFlow_LTM,0,COLUMN())</f>
        <v>-0.97594925057234971</v>
      </c>
      <c r="BA83" s="147">
        <f t="shared" ca="1" si="147"/>
        <v>-1.0787770109452133</v>
      </c>
      <c r="BB83" s="147">
        <f t="shared" ca="1" si="147"/>
        <v>-1.3283097349592119</v>
      </c>
      <c r="BC83" s="147">
        <f t="shared" ca="1" si="147"/>
        <v>-1.3431223245909849</v>
      </c>
      <c r="BD83" s="578">
        <f t="shared" ca="1" si="147"/>
        <v>-1.3431223245909849</v>
      </c>
      <c r="BE83" s="578">
        <f t="shared" ca="1" si="147"/>
        <v>-1.7269607816947243</v>
      </c>
      <c r="BF83" s="578">
        <f t="shared" ca="1" si="147"/>
        <v>-2.1159556449526322</v>
      </c>
      <c r="BG83" s="578">
        <f t="shared" ca="1" si="147"/>
        <v>-2.5077918644022104</v>
      </c>
      <c r="BH83" s="147"/>
    </row>
    <row r="84" spans="1:60" s="81" customFormat="1" ht="15" customHeight="1" x14ac:dyDescent="0.25">
      <c r="A84" s="348" t="s">
        <v>401</v>
      </c>
      <c r="B84" s="349"/>
      <c r="C84" s="579">
        <f>INDEX(MO_BSS_Debt_Net,0,COLUMN())/SUM(INDEX(MO_BS_SE,0,COLUMN()),INDEX(MO_BSS_Debt,0,COLUMN()),IFERROR(INDEX(MO_BSS_OL,0,COLUMN()),0))</f>
        <v>-0.97485625893821248</v>
      </c>
      <c r="D84" s="579">
        <f>INDEX(MO_BSS_Debt_Net,0,COLUMN())/SUM(INDEX(MO_BS_SE,0,COLUMN()),INDEX(MO_BSS_Debt,0,COLUMN()),IFERROR(INDEX(MO_BSS_OL,0,COLUMN()),0))</f>
        <v>-0.35956245463095077</v>
      </c>
      <c r="E84" s="579">
        <f>INDEX(MO_BSS_Debt_Net,0,COLUMN())/SUM(INDEX(MO_BS_SE,0,COLUMN()),INDEX(MO_BSS_Debt,0,COLUMN()),IFERROR(INDEX(MO_BSS_OL,0,COLUMN()),0))</f>
        <v>-4.6916557746735942E-2</v>
      </c>
      <c r="F84" s="579">
        <f>INDEX(MO_BSS_Debt_Net,0,COLUMN())/SUM(INDEX(MO_BS_SE,0,COLUMN()),INDEX(MO_BSS_Debt,0,COLUMN()),IFERROR(INDEX(MO_BSS_OL,0,COLUMN()),0))</f>
        <v>0.41544830105214031</v>
      </c>
      <c r="G84" s="148"/>
      <c r="H84" s="148"/>
      <c r="I84" s="148"/>
      <c r="J84" s="148">
        <f>INDEX(MO_BSS_Debt_Net,0,COLUMN())/SUM(INDEX(MO_BS_SE,0,COLUMN()),INDEX(MO_BSS_Debt,0,COLUMN()),IFERROR(INDEX(MO_BSS_OL,0,COLUMN()),0))</f>
        <v>-0.18997125584184582</v>
      </c>
      <c r="K84" s="579">
        <f>INDEX(MO_BSS_Debt_Net,0,COLUMN())/SUM(INDEX(MO_BS_SE,0,COLUMN()),INDEX(MO_BSS_Debt,0,COLUMN()),IFERROR(INDEX(MO_BSS_OL,0,COLUMN()),0))</f>
        <v>-0.18997125584184582</v>
      </c>
      <c r="L84" s="148">
        <f>INDEX(MO_BSS_Debt_Net,0,COLUMN())/SUM(INDEX(MO_BS_SE,0,COLUMN()),INDEX(MO_BSS_Debt,0,COLUMN()),IFERROR(INDEX(MO_BSS_OL,0,COLUMN()),0))</f>
        <v>-0.12314118855348967</v>
      </c>
      <c r="M84" s="148">
        <f>INDEX(MO_BSS_Debt_Net,0,COLUMN())/SUM(INDEX(MO_BS_SE,0,COLUMN()),INDEX(MO_BSS_Debt,0,COLUMN()),IFERROR(INDEX(MO_BSS_OL,0,COLUMN()),0))</f>
        <v>-6.9353334796769001E-2</v>
      </c>
      <c r="N84" s="148">
        <f>INDEX(MO_BSS_Debt_Net,0,COLUMN())/SUM(INDEX(MO_BS_SE,0,COLUMN()),INDEX(MO_BSS_Debt,0,COLUMN()),IFERROR(INDEX(MO_BSS_OL,0,COLUMN()),0))</f>
        <v>2.3564641540464653E-2</v>
      </c>
      <c r="O84" s="148">
        <f>INDEX(MO_BSS_Debt_Net,0,COLUMN())/SUM(INDEX(MO_BS_SE,0,COLUMN()),INDEX(MO_BSS_Debt,0,COLUMN()),IFERROR(INDEX(MO_BSS_OL,0,COLUMN()),0))</f>
        <v>0.16601613629077092</v>
      </c>
      <c r="P84" s="579">
        <f>INDEX(MO_BSS_Debt_Net,0,COLUMN())/SUM(INDEX(MO_BS_SE,0,COLUMN()),INDEX(MO_BSS_Debt,0,COLUMN()),IFERROR(INDEX(MO_BSS_OL,0,COLUMN()),0))</f>
        <v>0.16601613629077092</v>
      </c>
      <c r="Q84" s="148">
        <f>INDEX(MO_BSS_Debt_Net,0,COLUMN())/SUM(INDEX(MO_BS_SE,0,COLUMN()),INDEX(MO_BSS_Debt,0,COLUMN()),IFERROR(INDEX(MO_BSS_OL,0,COLUMN()),0))</f>
        <v>0.30897631256958208</v>
      </c>
      <c r="R84" s="148">
        <f>INDEX(MO_BSS_Debt_Net,0,COLUMN())/SUM(INDEX(MO_BS_SE,0,COLUMN()),INDEX(MO_BSS_Debt,0,COLUMN()),IFERROR(INDEX(MO_BSS_OL,0,COLUMN()),0))</f>
        <v>0.4455655035144287</v>
      </c>
      <c r="S84" s="148">
        <f>INDEX(MO_BSS_Debt_Net,0,COLUMN())/SUM(INDEX(MO_BS_SE,0,COLUMN()),INDEX(MO_BSS_Debt,0,COLUMN()),IFERROR(INDEX(MO_BSS_OL,0,COLUMN()),0))</f>
        <v>0.30748940921973739</v>
      </c>
      <c r="T84" s="148">
        <f>INDEX(MO_BSS_Debt_Net,0,COLUMN())/SUM(INDEX(MO_BS_SE,0,COLUMN()),INDEX(MO_BSS_Debt,0,COLUMN()),IFERROR(INDEX(MO_BSS_OL,0,COLUMN()),0))</f>
        <v>0.39322859853911002</v>
      </c>
      <c r="U84" s="579">
        <f>INDEX(MO_BSS_Debt_Net,0,COLUMN())/SUM(INDEX(MO_BS_SE,0,COLUMN()),INDEX(MO_BSS_Debt,0,COLUMN()),IFERROR(INDEX(MO_BSS_OL,0,COLUMN()),0))</f>
        <v>0.39322859853911002</v>
      </c>
      <c r="V84" s="148">
        <f>INDEX(MO_BSS_Debt_Net,0,COLUMN())/SUM(INDEX(MO_BS_SE,0,COLUMN()),INDEX(MO_BSS_Debt,0,COLUMN()),IFERROR(INDEX(MO_BSS_OL,0,COLUMN()),0))</f>
        <v>0.41050886789325386</v>
      </c>
      <c r="W84" s="148">
        <f>INDEX(MO_BSS_Debt_Net,0,COLUMN())/SUM(INDEX(MO_BS_SE,0,COLUMN()),INDEX(MO_BSS_Debt,0,COLUMN()),IFERROR(INDEX(MO_BSS_OL,0,COLUMN()),0))</f>
        <v>2.2652296551434457E-3</v>
      </c>
      <c r="X84" s="148">
        <f>INDEX(MO_BSS_Debt_Net,0,COLUMN())/SUM(INDEX(MO_BS_SE,0,COLUMN()),INDEX(MO_BSS_Debt,0,COLUMN()),IFERROR(INDEX(MO_BSS_OL,0,COLUMN()),0))</f>
        <v>-7.2741050740101426E-2</v>
      </c>
      <c r="Y84" s="148">
        <f>INDEX(MO_BSS_Debt_Net,0,COLUMN())/SUM(INDEX(MO_BS_SE,0,COLUMN()),INDEX(MO_BSS_Debt,0,COLUMN()),IFERROR(INDEX(MO_BSS_OL,0,COLUMN()),0))</f>
        <v>0.30549545665801048</v>
      </c>
      <c r="Z84" s="579">
        <f>INDEX(MO_BSS_Debt_Net,0,COLUMN())/SUM(INDEX(MO_BS_SE,0,COLUMN()),INDEX(MO_BSS_Debt,0,COLUMN()),IFERROR(INDEX(MO_BSS_OL,0,COLUMN()),0))</f>
        <v>0.30549545665801048</v>
      </c>
      <c r="AA84" s="148">
        <f>INDEX(MO_BSS_Debt_Net,0,COLUMN())/SUM(INDEX(MO_BS_SE,0,COLUMN()),INDEX(MO_BSS_Debt,0,COLUMN()),IFERROR(INDEX(MO_BSS_OL,0,COLUMN()),0))</f>
        <v>0.30963431419023352</v>
      </c>
      <c r="AB84" s="148">
        <f>INDEX(MO_BSS_Debt_Net,0,COLUMN())/SUM(INDEX(MO_BS_SE,0,COLUMN()),INDEX(MO_BSS_Debt,0,COLUMN()),IFERROR(INDEX(MO_BSS_OL,0,COLUMN()),0))</f>
        <v>0.36701138813876233</v>
      </c>
      <c r="AC84" s="148">
        <f>INDEX(MO_BSS_Debt_Net,0,COLUMN())/SUM(INDEX(MO_BS_SE,0,COLUMN()),INDEX(MO_BSS_Debt,0,COLUMN()),IFERROR(INDEX(MO_BSS_OL,0,COLUMN()),0))</f>
        <v>0.4307336239189824</v>
      </c>
      <c r="AD84" s="148">
        <f>INDEX(MO_BSS_Debt_Net,0,COLUMN())/SUM(INDEX(MO_BS_SE,0,COLUMN()),INDEX(MO_BSS_Debt,0,COLUMN()),IFERROR(INDEX(MO_BSS_OL,0,COLUMN()),0))</f>
        <v>0.46670998235303823</v>
      </c>
      <c r="AE84" s="579">
        <f>INDEX(MO_BSS_Debt_Net,0,COLUMN())/SUM(INDEX(MO_BS_SE,0,COLUMN()),INDEX(MO_BSS_Debt,0,COLUMN()),IFERROR(INDEX(MO_BSS_OL,0,COLUMN()),0))</f>
        <v>0.46670998235303823</v>
      </c>
      <c r="AF84" s="148">
        <f>INDEX(MO_BSS_Debt_Net,0,COLUMN())/SUM(INDEX(MO_BS_SE,0,COLUMN()),INDEX(MO_BSS_Debt,0,COLUMN()),IFERROR(INDEX(MO_BSS_OL,0,COLUMN()),0))</f>
        <v>0.5242969973152739</v>
      </c>
      <c r="AG84" s="148">
        <f>INDEX(MO_BSS_Debt_Net,0,COLUMN())/SUM(INDEX(MO_BS_SE,0,COLUMN()),INDEX(MO_BSS_Debt,0,COLUMN()),IFERROR(INDEX(MO_BSS_OL,0,COLUMN()),0))</f>
        <v>0.59481355798557178</v>
      </c>
      <c r="AH84" s="148">
        <f>INDEX(MO_BSS_Debt_Net,0,COLUMN())/SUM(INDEX(MO_BS_SE,0,COLUMN()),INDEX(MO_BSS_Debt,0,COLUMN()),IFERROR(INDEX(MO_BSS_OL,0,COLUMN()),0))</f>
        <v>0.5312487087798794</v>
      </c>
      <c r="AI84" s="148">
        <f>INDEX(MO_BSS_Debt_Net,0,COLUMN())/SUM(INDEX(MO_BS_SE,0,COLUMN()),INDEX(MO_BSS_Debt,0,COLUMN()),IFERROR(INDEX(MO_BSS_OL,0,COLUMN()),0))</f>
        <v>0.47904036162057329</v>
      </c>
      <c r="AJ84" s="579">
        <f>INDEX(MO_BSS_Debt_Net,0,COLUMN())/SUM(INDEX(MO_BS_SE,0,COLUMN()),INDEX(MO_BSS_Debt,0,COLUMN()),IFERROR(INDEX(MO_BSS_OL,0,COLUMN()),0))</f>
        <v>0.47904036162057329</v>
      </c>
      <c r="AK84" s="148">
        <f>INDEX(MO_BSS_Debt_Net,0,COLUMN())/SUM(INDEX(MO_BS_SE,0,COLUMN()),INDEX(MO_BSS_Debt,0,COLUMN()),IFERROR(INDEX(MO_BSS_OL,0,COLUMN()),0))</f>
        <v>0.5692524816517931</v>
      </c>
      <c r="AL84" s="148">
        <f>INDEX(MO_BSS_Debt_Net,0,COLUMN())/SUM(INDEX(MO_BS_SE,0,COLUMN()),INDEX(MO_BSS_Debt,0,COLUMN()),IFERROR(INDEX(MO_BSS_OL,0,COLUMN()),0))</f>
        <v>0.42381896814978637</v>
      </c>
      <c r="AM84" s="148">
        <f>INDEX(MO_BSS_Debt_Net,0,COLUMN())/SUM(INDEX(MO_BS_SE,0,COLUMN()),INDEX(MO_BSS_Debt,0,COLUMN()),IFERROR(INDEX(MO_BSS_OL,0,COLUMN()),0))</f>
        <v>0.40096992209668264</v>
      </c>
      <c r="AN84" s="148">
        <f>INDEX(MO_BSS_Debt_Net,0,COLUMN())/SUM(INDEX(MO_BS_SE,0,COLUMN()),INDEX(MO_BSS_Debt,0,COLUMN()),IFERROR(INDEX(MO_BSS_OL,0,COLUMN()),0))</f>
        <v>0.34461246693616809</v>
      </c>
      <c r="AO84" s="579">
        <f>INDEX(MO_BSS_Debt_Net,0,COLUMN())/SUM(INDEX(MO_BS_SE,0,COLUMN()),INDEX(MO_BSS_Debt,0,COLUMN()),IFERROR(INDEX(MO_BSS_OL,0,COLUMN()),0))</f>
        <v>0.34461246693616809</v>
      </c>
      <c r="AP84" s="148">
        <f>INDEX(MO_BSS_Debt_Net,0,COLUMN())/SUM(INDEX(MO_BS_SE,0,COLUMN()),INDEX(MO_BSS_Debt,0,COLUMN()),IFERROR(INDEX(MO_BSS_OL,0,COLUMN()),0))</f>
        <v>0.24528465132375843</v>
      </c>
      <c r="AQ84" s="148">
        <f>INDEX(MO_BSS_Debt_Net,0,COLUMN())/SUM(INDEX(MO_BS_SE,0,COLUMN()),INDEX(MO_BSS_Debt,0,COLUMN()),IFERROR(INDEX(MO_BSS_OL,0,COLUMN()),0))</f>
        <v>0.22176377427690255</v>
      </c>
      <c r="AR84" s="148">
        <f>INDEX(MO_BSS_Debt_Net,0,COLUMN())/SUM(INDEX(MO_BS_SE,0,COLUMN()),INDEX(MO_BSS_Debt,0,COLUMN()),IFERROR(INDEX(MO_BSS_OL,0,COLUMN()),0))</f>
        <v>-3.2656900954172827E-2</v>
      </c>
      <c r="AS84" s="148">
        <f>INDEX(MO_BSS_Debt_Net,0,COLUMN())/SUM(INDEX(MO_BS_SE,0,COLUMN()),INDEX(MO_BSS_Debt,0,COLUMN()),IFERROR(INDEX(MO_BSS_OL,0,COLUMN()),0))</f>
        <v>-0.23209869273348252</v>
      </c>
      <c r="AT84" s="579">
        <f>INDEX(MO_BSS_Debt_Net,0,COLUMN())/SUM(INDEX(MO_BS_SE,0,COLUMN()),INDEX(MO_BSS_Debt,0,COLUMN()),IFERROR(INDEX(MO_BSS_OL,0,COLUMN()),0))</f>
        <v>-0.23209869273348252</v>
      </c>
      <c r="AU84" s="148">
        <f>INDEX(MO_BSS_Debt_Net,0,COLUMN())/SUM(INDEX(MO_BS_SE,0,COLUMN()),INDEX(MO_BSS_Debt,0,COLUMN()),IFERROR(INDEX(MO_BSS_OL,0,COLUMN()),0))</f>
        <v>-0.19398624922541238</v>
      </c>
      <c r="AV84" s="148">
        <f>INDEX(MO_BSS_Debt_Net,0,COLUMN())/SUM(INDEX(MO_BS_SE,0,COLUMN()),INDEX(MO_BSS_Debt,0,COLUMN()),IFERROR(INDEX(MO_BSS_OL,0,COLUMN()),0))</f>
        <v>-0.20915070896067825</v>
      </c>
      <c r="AW84" s="769">
        <f>INDEX(MO_BSS_Debt_Net,0,COLUMN())/SUM(INDEX(MO_BS_SE,0,COLUMN()),INDEX(MO_BSS_Debt,0,COLUMN()),IFERROR(INDEX(MO_BSS_OL,0,COLUMN()),0))</f>
        <v>-0.23483966256710312</v>
      </c>
      <c r="AX84" s="148">
        <f ca="1">INDEX(MO_BSS_Debt_Net,0,COLUMN())/SUM(INDEX(MO_BS_SE,0,COLUMN()),INDEX(MO_BSS_Debt,0,COLUMN()),IFERROR(INDEX(MO_BSS_OL,0,COLUMN()),0))</f>
        <v>-0.25352219657951613</v>
      </c>
      <c r="AY84" s="579">
        <f ca="1">INDEX(MO_BSS_Debt_Net,0,COLUMN())/SUM(INDEX(MO_BS_SE,0,COLUMN()),INDEX(MO_BSS_Debt,0,COLUMN()),IFERROR(INDEX(MO_BSS_OL,0,COLUMN()),0))</f>
        <v>-0.25352219657951613</v>
      </c>
      <c r="AZ84" s="148">
        <f ca="1">INDEX(MO_BSS_Debt_Net,0,COLUMN())/SUM(INDEX(MO_BS_SE,0,COLUMN()),INDEX(MO_BSS_Debt,0,COLUMN()),IFERROR(INDEX(MO_BSS_OL,0,COLUMN()),0))</f>
        <v>-0.29470896476084002</v>
      </c>
      <c r="BA84" s="148">
        <f ca="1">INDEX(MO_BSS_Debt_Net,0,COLUMN())/SUM(INDEX(MO_BS_SE,0,COLUMN()),INDEX(MO_BSS_Debt,0,COLUMN()),IFERROR(INDEX(MO_BSS_OL,0,COLUMN()),0))</f>
        <v>-0.34056174370390802</v>
      </c>
      <c r="BB84" s="148">
        <f ca="1">INDEX(MO_BSS_Debt_Net,0,COLUMN())/SUM(INDEX(MO_BS_SE,0,COLUMN()),INDEX(MO_BSS_Debt,0,COLUMN()),IFERROR(INDEX(MO_BSS_OL,0,COLUMN()),0))</f>
        <v>-0.43324122356492351</v>
      </c>
      <c r="BC84" s="148">
        <f ca="1">INDEX(MO_BSS_Debt_Net,0,COLUMN())/SUM(INDEX(MO_BS_SE,0,COLUMN()),INDEX(MO_BSS_Debt,0,COLUMN()),IFERROR(INDEX(MO_BSS_OL,0,COLUMN()),0))</f>
        <v>-0.45625812152760065</v>
      </c>
      <c r="BD84" s="579">
        <f ca="1">INDEX(MO_BSS_Debt_Net,0,COLUMN())/SUM(INDEX(MO_BS_SE,0,COLUMN()),INDEX(MO_BSS_Debt,0,COLUMN()),IFERROR(INDEX(MO_BSS_OL,0,COLUMN()),0))</f>
        <v>-0.45625812152760065</v>
      </c>
      <c r="BE84" s="579">
        <f ca="1">INDEX(MO_BSS_Debt_Net,0,COLUMN())/SUM(INDEX(MO_BS_SE,0,COLUMN()),INDEX(MO_BSS_Debt,0,COLUMN()),IFERROR(INDEX(MO_BSS_OL,0,COLUMN()),0))</f>
        <v>-0.52851520094360938</v>
      </c>
      <c r="BF84" s="579">
        <f ca="1">INDEX(MO_BSS_Debt_Net,0,COLUMN())/SUM(INDEX(MO_BS_SE,0,COLUMN()),INDEX(MO_BSS_Debt,0,COLUMN()),IFERROR(INDEX(MO_BSS_OL,0,COLUMN()),0))</f>
        <v>-0.59579893563874853</v>
      </c>
      <c r="BG84" s="579">
        <f ca="1">INDEX(MO_BSS_Debt_Net,0,COLUMN())/SUM(INDEX(MO_BS_SE,0,COLUMN()),INDEX(MO_BSS_Debt,0,COLUMN()),IFERROR(INDEX(MO_BSS_OL,0,COLUMN()),0))</f>
        <v>-0.65633891606271866</v>
      </c>
      <c r="BH84" s="385"/>
    </row>
    <row r="85" spans="1:60" s="78" customFormat="1" hidden="1" outlineLevel="1" x14ac:dyDescent="0.25">
      <c r="A85" s="342" t="s">
        <v>402</v>
      </c>
      <c r="B85" s="343"/>
      <c r="C85" s="1086">
        <f>C47</f>
        <v>-43.523000000000003</v>
      </c>
      <c r="D85" s="1086">
        <f>D47</f>
        <v>-115.059</v>
      </c>
      <c r="E85" s="1086">
        <f>E47</f>
        <v>-205.14999999999995</v>
      </c>
      <c r="F85" s="1086">
        <f>F47</f>
        <v>-315.31299999999999</v>
      </c>
      <c r="G85" s="1087"/>
      <c r="H85" s="1087"/>
      <c r="I85" s="1087"/>
      <c r="J85" s="1087">
        <f>SUM(J47,I47,H47,G47)</f>
        <v>139.52400000000011</v>
      </c>
      <c r="K85" s="1086">
        <f>K47</f>
        <v>139.52400000000011</v>
      </c>
      <c r="L85" s="1087">
        <f>SUM(L47,J47,I47,H47)</f>
        <v>149.72900000000001</v>
      </c>
      <c r="M85" s="1087">
        <f>SUM(M47,L47,J47,I47)</f>
        <v>181.80899999999994</v>
      </c>
      <c r="N85" s="1087">
        <f>SUM(N47,M47,L47,J47)</f>
        <v>227.47499999999991</v>
      </c>
      <c r="O85" s="1087">
        <f>SUM(O47,N47,M47,L47)</f>
        <v>201.73999999999978</v>
      </c>
      <c r="P85" s="1086">
        <f>P47</f>
        <v>201.7380000000004</v>
      </c>
      <c r="Q85" s="1087">
        <f>SUM(Q47,O47,N47,M47)</f>
        <v>182.0929999999999</v>
      </c>
      <c r="R85" s="1087">
        <f>SUM(R47,Q47,O47,N47)</f>
        <v>84.884000000000015</v>
      </c>
      <c r="S85" s="1087">
        <f>SUM(S47,R47,Q47,O47)</f>
        <v>2.6199999999999903</v>
      </c>
      <c r="T85" s="1087">
        <f>SUM(T47,S47,R47,Q47)</f>
        <v>-96.039999999999864</v>
      </c>
      <c r="U85" s="1086">
        <f>U47</f>
        <v>-96.039999999999964</v>
      </c>
      <c r="V85" s="1087">
        <f>SUM(V47,T47,S47,R47)</f>
        <v>-115.83899999999997</v>
      </c>
      <c r="W85" s="1087">
        <f>SUM(W47,V47,T47,S47)</f>
        <v>-67.870999999999981</v>
      </c>
      <c r="X85" s="1087">
        <f>SUM(X47,W47,V47,T47)</f>
        <v>405.02499999999975</v>
      </c>
      <c r="Y85" s="1087">
        <f>SUM(Y47,X47,W47,V47)</f>
        <v>613.98199999999952</v>
      </c>
      <c r="Z85" s="1086">
        <f>Z47</f>
        <v>613.98399999999947</v>
      </c>
      <c r="AA85" s="1087">
        <f>SUM(AA47,Y47,X47,W47)</f>
        <v>838.85899999999958</v>
      </c>
      <c r="AB85" s="1087">
        <f>SUM(AB47,AA47,Y47,X47)</f>
        <v>1090.6519999999996</v>
      </c>
      <c r="AC85" s="1087">
        <f>SUM(AC47,AB47,AA47,Y47)</f>
        <v>612.8159999999998</v>
      </c>
      <c r="AD85" s="1087">
        <f>SUM(AD47,AC47,AB47,AA47)</f>
        <v>470.67699999999917</v>
      </c>
      <c r="AE85" s="1086">
        <f>AE47</f>
        <v>470.67700000000059</v>
      </c>
      <c r="AF85" s="1087">
        <f>SUM(AF47,AD47,AC47,AB47)</f>
        <v>208.8049999999991</v>
      </c>
      <c r="AG85" s="1087">
        <f>SUM(AG47,AF47,AD47,AC47)</f>
        <v>5.7149999999983265</v>
      </c>
      <c r="AH85" s="1087">
        <f>SUM(AH47,AG47,AF47,AD47)</f>
        <v>1152.2279999999985</v>
      </c>
      <c r="AI85" s="1087">
        <f>SUM(AI47,AH47,AG47,AF47)</f>
        <v>2262.0009999999993</v>
      </c>
      <c r="AJ85" s="1086">
        <f>AJ47</f>
        <v>2262.0010000000007</v>
      </c>
      <c r="AK85" s="1087">
        <f>SUM(AK47,AI47,AH47,AG47)</f>
        <v>2455.2269999999994</v>
      </c>
      <c r="AL85" s="1087">
        <f>SUM(AL47,AK47,AI47,AH47)</f>
        <v>3014.9969999999994</v>
      </c>
      <c r="AM85" s="1087">
        <f>SUM(AM47,AL47,AK47,AI47)</f>
        <v>2881.5379999999996</v>
      </c>
      <c r="AN85" s="1087">
        <f>SUM(AN47,AM47,AL47,AK47)</f>
        <v>2982.9999999999986</v>
      </c>
      <c r="AO85" s="1086">
        <f>AO47</f>
        <v>2983</v>
      </c>
      <c r="AP85" s="1087">
        <f>SUM(AP47,AN47,AM47,AL47)</f>
        <v>3875.8759999999993</v>
      </c>
      <c r="AQ85" s="1087">
        <f>SUM(AQ47,AP47,AN47,AM47)</f>
        <v>4495.8989999999994</v>
      </c>
      <c r="AR85" s="1087">
        <f>SUM(AR47,AQ47,AP47,AN47)</f>
        <v>5441.0479999999998</v>
      </c>
      <c r="AS85" s="1087">
        <f>SUM(AS47,AR47,AQ47,AP47)</f>
        <v>6050</v>
      </c>
      <c r="AT85" s="1086">
        <f>AT47</f>
        <v>6050</v>
      </c>
      <c r="AU85" s="1087">
        <f>SUM(AU47,AS47,AR47,AQ47)</f>
        <v>6832</v>
      </c>
      <c r="AV85" s="1087">
        <f>SUM(AV47,AU47,AS47,AR47)</f>
        <v>8058</v>
      </c>
      <c r="AW85" s="1088">
        <f>SUM(AW47,AV47,AU47,AS47)</f>
        <v>9362</v>
      </c>
      <c r="AX85" s="1087">
        <f>SUM(AX47,AW47,AV47,AU47)</f>
        <v>11016.328970777487</v>
      </c>
      <c r="AY85" s="1086">
        <f>AY47</f>
        <v>11016.328970777487</v>
      </c>
      <c r="AZ85" s="1087">
        <f>SUM(AZ47,AX47,AW47,AV47)</f>
        <v>13513.493542452381</v>
      </c>
      <c r="BA85" s="1087">
        <f>SUM(BA47,AZ47,AX47,AW47)</f>
        <v>15862.092825592221</v>
      </c>
      <c r="BB85" s="1087">
        <f>SUM(BB47,BA47,AZ47,AX47)</f>
        <v>18599.226034710686</v>
      </c>
      <c r="BC85" s="1087">
        <f>SUM(BC47,BB47,BA47,AZ47)</f>
        <v>21018.333140650258</v>
      </c>
      <c r="BD85" s="1086">
        <f>BD47</f>
        <v>21018.333140650258</v>
      </c>
      <c r="BE85" s="1086">
        <f>BE47</f>
        <v>25191.454647722221</v>
      </c>
      <c r="BF85" s="1086">
        <f>BF47</f>
        <v>30216.848896401832</v>
      </c>
      <c r="BG85" s="1086">
        <f>BG47</f>
        <v>36092.769833139719</v>
      </c>
      <c r="BH85" s="383"/>
    </row>
    <row r="86" spans="1:60" s="78" customFormat="1" hidden="1" outlineLevel="1" x14ac:dyDescent="0.25">
      <c r="A86" s="342" t="s">
        <v>403</v>
      </c>
      <c r="B86" s="343"/>
      <c r="C86" s="1086">
        <f>C62</f>
        <v>-43.282000000000004</v>
      </c>
      <c r="D86" s="1086">
        <f>D62</f>
        <v>-116.56800000000001</v>
      </c>
      <c r="E86" s="1086">
        <f>E62</f>
        <v>-203.26199999999997</v>
      </c>
      <c r="F86" s="1086">
        <f>F62</f>
        <v>-308.90000000000009</v>
      </c>
      <c r="G86" s="1087"/>
      <c r="H86" s="1087"/>
      <c r="I86" s="1087"/>
      <c r="J86" s="1087">
        <f>SUM(J62,I62,H62,G62)</f>
        <v>115.846</v>
      </c>
      <c r="K86" s="1086">
        <f>K62</f>
        <v>115.84599999999999</v>
      </c>
      <c r="L86" s="1087">
        <f>SUM(L62,J62,I62,H62)</f>
        <v>122.87899999999999</v>
      </c>
      <c r="M86" s="1087">
        <f>SUM(M62,L62,J62,I62)</f>
        <v>159.34300000000002</v>
      </c>
      <c r="N86" s="1087">
        <f>SUM(N62,M62,L62,J62)</f>
        <v>209.05199999999996</v>
      </c>
      <c r="O86" s="1087">
        <f>SUM(O62,N62,M62,L62)</f>
        <v>199.488</v>
      </c>
      <c r="P86" s="1086">
        <f>P62</f>
        <v>199.488</v>
      </c>
      <c r="Q86" s="1087">
        <f>SUM(Q62,O62,N62,M62)</f>
        <v>180.64999999999998</v>
      </c>
      <c r="R86" s="1087">
        <f>SUM(R62,Q62,O62,N62)</f>
        <v>87.601999999999975</v>
      </c>
      <c r="S86" s="1087">
        <f>SUM(S62,R62,Q62,O62)</f>
        <v>10.020000000000042</v>
      </c>
      <c r="T86" s="1087">
        <f>SUM(T62,S62,R62,Q62)</f>
        <v>-31.210000000000033</v>
      </c>
      <c r="U86" s="1086">
        <f>U62</f>
        <v>-31.210000000000093</v>
      </c>
      <c r="V86" s="1087">
        <f>SUM(V62,T62,S62,R62)</f>
        <v>-33.177000000000014</v>
      </c>
      <c r="W86" s="1087">
        <f>SUM(W62,V62,T62,S62)</f>
        <v>-12.860000000000063</v>
      </c>
      <c r="X86" s="1087">
        <f>SUM(X62,W62,V62,T62)</f>
        <v>457.40299999999985</v>
      </c>
      <c r="Y86" s="1087">
        <f>SUM(Y62,X62,W62,V62)</f>
        <v>570.03200000000004</v>
      </c>
      <c r="Z86" s="1086">
        <f>Z62</f>
        <v>570.03200000000004</v>
      </c>
      <c r="AA86" s="1087">
        <f>SUM(AA62,Y62,X62,W62)</f>
        <v>741.577</v>
      </c>
      <c r="AB86" s="1087">
        <f>SUM(AB62,AA62,Y62,X62)</f>
        <v>1031.6460000000002</v>
      </c>
      <c r="AC86" s="1087">
        <f>SUM(AC62,AB62,AA62,Y62)</f>
        <v>521.48199999999997</v>
      </c>
      <c r="AD86" s="1087">
        <f>SUM(AD62,AC62,AB62,AA62)</f>
        <v>435.94899999999984</v>
      </c>
      <c r="AE86" s="1086">
        <f>AE62</f>
        <v>435.9489999999999</v>
      </c>
      <c r="AF86" s="1087">
        <f>SUM(AF62,AD62,AC62,AB62)</f>
        <v>170.02999999999997</v>
      </c>
      <c r="AG86" s="1087">
        <f>SUM(AG62,AF62,AD62,AC62)</f>
        <v>-73.566000000000173</v>
      </c>
      <c r="AH86" s="1087">
        <f>SUM(AH62,AG62,AF62,AD62)</f>
        <v>1017.191</v>
      </c>
      <c r="AI86" s="1087">
        <f>SUM(AI62,AH62,AG62,AF62)</f>
        <v>2039.8509999999997</v>
      </c>
      <c r="AJ86" s="1086">
        <f>AJ62</f>
        <v>2039.8509999999997</v>
      </c>
      <c r="AK86" s="1087">
        <f>SUM(AK62,AI62,AH62,AG62)</f>
        <v>2149.2959999999998</v>
      </c>
      <c r="AL86" s="1087">
        <f>SUM(AL62,AK62,AI62,AH62)</f>
        <v>2688.4290000000001</v>
      </c>
      <c r="AM86" s="1087">
        <f>SUM(AM62,AL62,AK62,AI62)</f>
        <v>2595.5129999999999</v>
      </c>
      <c r="AN86" s="1087">
        <f>SUM(AN62,AM62,AL62,AK62)</f>
        <v>2754</v>
      </c>
      <c r="AO86" s="1086">
        <f>AO62</f>
        <v>2754</v>
      </c>
      <c r="AP86" s="1087">
        <f>SUM(AP62,AN62,AM62,AL62)</f>
        <v>3724.5050000000001</v>
      </c>
      <c r="AQ86" s="1087">
        <f>SUM(AQ62,AP62,AN62,AM62)</f>
        <v>4358.0470000000005</v>
      </c>
      <c r="AR86" s="1087">
        <f>SUM(AR62,AQ62,AP62,AN62)</f>
        <v>5176</v>
      </c>
      <c r="AS86" s="1087">
        <f>SUM(AS62,AR62,AQ62,AP62)</f>
        <v>5759</v>
      </c>
      <c r="AT86" s="1086">
        <f>AT62</f>
        <v>5759</v>
      </c>
      <c r="AU86" s="1087">
        <f>SUM(AU62,AS62,AR62,AQ62)</f>
        <v>6405</v>
      </c>
      <c r="AV86" s="1087">
        <f>SUM(AV62,AU62,AS62,AR62)</f>
        <v>7643</v>
      </c>
      <c r="AW86" s="1088">
        <f>SUM(AW62,AV62,AU62,AS62)</f>
        <v>9026</v>
      </c>
      <c r="AX86" s="1087">
        <f>SUM(AX62,AW62,AV62,AU62)</f>
        <v>10131.415439023804</v>
      </c>
      <c r="AY86" s="1086">
        <f>AY62</f>
        <v>10131.415439023804</v>
      </c>
      <c r="AZ86" s="1087">
        <f ca="1">SUM(AZ62,AX62,AW62,AV62)</f>
        <v>12030.371080348117</v>
      </c>
      <c r="BA86" s="1087">
        <f ca="1">SUM(BA62,AZ62,AX62,AW62)</f>
        <v>13528.154388006475</v>
      </c>
      <c r="BB86" s="1087">
        <f ca="1">SUM(BB62,BA62,AZ62,AX62)</f>
        <v>15250.828461674684</v>
      </c>
      <c r="BC86" s="1087">
        <f ca="1">SUM(BC62,BB62,BA62,AZ62)</f>
        <v>17184.748331292569</v>
      </c>
      <c r="BD86" s="1086">
        <f ca="1">BD62</f>
        <v>17184.748331292569</v>
      </c>
      <c r="BE86" s="1086">
        <f ca="1">BE62</f>
        <v>20539.851790473938</v>
      </c>
      <c r="BF86" s="1086">
        <f ca="1">BF62</f>
        <v>24599.208737247034</v>
      </c>
      <c r="BG86" s="1086">
        <f ca="1">BG62</f>
        <v>29325.721244325301</v>
      </c>
      <c r="BH86" s="383"/>
    </row>
    <row r="87" spans="1:60" collapsed="1" x14ac:dyDescent="0.25">
      <c r="A87" s="326"/>
      <c r="B87" s="331"/>
      <c r="C87" s="1089"/>
      <c r="D87" s="1089"/>
      <c r="E87" s="1089"/>
      <c r="F87" s="1089"/>
      <c r="G87" s="1090"/>
      <c r="H87" s="1090"/>
      <c r="I87" s="1090"/>
      <c r="J87" s="1090"/>
      <c r="K87" s="1089"/>
      <c r="L87" s="1090"/>
      <c r="M87" s="1090"/>
      <c r="N87" s="1090"/>
      <c r="O87" s="1090"/>
      <c r="P87" s="1089"/>
      <c r="Q87" s="1090"/>
      <c r="R87" s="1090"/>
      <c r="S87" s="1090"/>
      <c r="T87" s="1090"/>
      <c r="U87" s="1089"/>
      <c r="V87" s="1090"/>
      <c r="W87" s="1090"/>
      <c r="X87" s="1090"/>
      <c r="Y87" s="1090"/>
      <c r="Z87" s="1089"/>
      <c r="AA87" s="1090"/>
      <c r="AB87" s="1090"/>
      <c r="AC87" s="1090"/>
      <c r="AD87" s="1090"/>
      <c r="AE87" s="1089"/>
      <c r="AF87" s="1090"/>
      <c r="AG87" s="1090"/>
      <c r="AH87" s="1090"/>
      <c r="AI87" s="1090"/>
      <c r="AJ87" s="1089"/>
      <c r="AK87" s="1090"/>
      <c r="AL87" s="1090"/>
      <c r="AM87" s="1090"/>
      <c r="AN87" s="1090"/>
      <c r="AO87" s="1089"/>
      <c r="AP87" s="1090"/>
      <c r="AQ87" s="1090"/>
      <c r="AR87" s="1090"/>
      <c r="AS87" s="1090"/>
      <c r="AT87" s="1089"/>
      <c r="AU87" s="1090"/>
      <c r="AV87" s="1090"/>
      <c r="AW87" s="1091"/>
      <c r="AX87" s="1090"/>
      <c r="AY87" s="1089"/>
      <c r="AZ87" s="1090"/>
      <c r="BA87" s="1090"/>
      <c r="BB87" s="1090"/>
      <c r="BC87" s="1090"/>
      <c r="BD87" s="1089"/>
      <c r="BE87" s="1089"/>
      <c r="BF87" s="1089"/>
      <c r="BG87" s="1089"/>
      <c r="BH87" s="1032"/>
    </row>
    <row r="88" spans="1:60" x14ac:dyDescent="0.25">
      <c r="A88" s="199" t="s">
        <v>404</v>
      </c>
      <c r="B88" s="1033"/>
      <c r="C88" s="1092"/>
      <c r="D88" s="1092"/>
      <c r="E88" s="1092"/>
      <c r="F88" s="1092"/>
      <c r="G88" s="1092"/>
      <c r="H88" s="1092"/>
      <c r="I88" s="1092"/>
      <c r="J88" s="1092"/>
      <c r="K88" s="1092"/>
      <c r="L88" s="1092"/>
      <c r="M88" s="1092"/>
      <c r="N88" s="1092"/>
      <c r="O88" s="1092"/>
      <c r="P88" s="1092"/>
      <c r="Q88" s="1092"/>
      <c r="R88" s="1092"/>
      <c r="S88" s="1092"/>
      <c r="T88" s="1092"/>
      <c r="U88" s="1092"/>
      <c r="V88" s="1092"/>
      <c r="W88" s="1092"/>
      <c r="X88" s="1092"/>
      <c r="Y88" s="1092"/>
      <c r="Z88" s="1092"/>
      <c r="AA88" s="1092"/>
      <c r="AB88" s="1092"/>
      <c r="AC88" s="1092"/>
      <c r="AD88" s="1092"/>
      <c r="AE88" s="1092"/>
      <c r="AF88" s="1092"/>
      <c r="AG88" s="1092"/>
      <c r="AH88" s="1092"/>
      <c r="AI88" s="1092"/>
      <c r="AJ88" s="1092"/>
      <c r="AK88" s="1092"/>
      <c r="AL88" s="1092"/>
      <c r="AM88" s="1092"/>
      <c r="AN88" s="1092"/>
      <c r="AO88" s="1092"/>
      <c r="AP88" s="1092"/>
      <c r="AQ88" s="1092"/>
      <c r="AR88" s="1092"/>
      <c r="AS88" s="1092"/>
      <c r="AT88" s="1092"/>
      <c r="AU88" s="1092"/>
      <c r="AV88" s="1092"/>
      <c r="AW88" s="1093"/>
      <c r="AX88" s="1092"/>
      <c r="AY88" s="1092"/>
      <c r="AZ88" s="1092"/>
      <c r="BA88" s="1092"/>
      <c r="BB88" s="1092"/>
      <c r="BC88" s="1092"/>
      <c r="BD88" s="1092"/>
      <c r="BE88" s="1092"/>
      <c r="BF88" s="1092"/>
      <c r="BG88" s="1092"/>
      <c r="BH88" s="1030"/>
    </row>
    <row r="89" spans="1:60" hidden="1" outlineLevel="1" x14ac:dyDescent="0.25">
      <c r="A89" s="327" t="s">
        <v>405</v>
      </c>
      <c r="B89" s="328"/>
      <c r="C89" s="1086">
        <f t="shared" ref="C89:AH89" si="148">INDEX(SP_NGF_NI,0,COLUMN())</f>
        <v>-53.178000000000011</v>
      </c>
      <c r="D89" s="1086">
        <f t="shared" si="148"/>
        <v>-128.15</v>
      </c>
      <c r="E89" s="1086">
        <f t="shared" si="148"/>
        <v>-222.24199999999996</v>
      </c>
      <c r="F89" s="1086">
        <f t="shared" si="148"/>
        <v>-344.214</v>
      </c>
      <c r="G89" s="1087">
        <f t="shared" si="148"/>
        <v>15.424000000000055</v>
      </c>
      <c r="H89" s="1087">
        <f t="shared" si="148"/>
        <v>26.282999999999998</v>
      </c>
      <c r="I89" s="1087">
        <f t="shared" si="148"/>
        <v>15.934999999999995</v>
      </c>
      <c r="J89" s="1087">
        <f t="shared" si="148"/>
        <v>45.920000000000044</v>
      </c>
      <c r="K89" s="1086">
        <f t="shared" si="148"/>
        <v>103.56200000000013</v>
      </c>
      <c r="L89" s="1087">
        <f t="shared" si="148"/>
        <v>17.014999999999986</v>
      </c>
      <c r="M89" s="1087">
        <f t="shared" si="148"/>
        <v>16.128999999999898</v>
      </c>
      <c r="N89" s="1087">
        <f t="shared" si="148"/>
        <v>3.1739999999999782</v>
      </c>
      <c r="O89" s="1087">
        <f t="shared" si="148"/>
        <v>-16.21400000000007</v>
      </c>
      <c r="P89" s="1086">
        <f t="shared" si="148"/>
        <v>20.101000000000397</v>
      </c>
      <c r="Q89" s="1087">
        <f t="shared" si="148"/>
        <v>-45.248999999999896</v>
      </c>
      <c r="R89" s="1087">
        <f t="shared" si="148"/>
        <v>-60.814000000000007</v>
      </c>
      <c r="S89" s="1087">
        <f t="shared" si="148"/>
        <v>-74.953000000000003</v>
      </c>
      <c r="T89" s="1087">
        <f t="shared" si="148"/>
        <v>-113.85099999999994</v>
      </c>
      <c r="U89" s="1086">
        <f t="shared" si="148"/>
        <v>-294.86699999999985</v>
      </c>
      <c r="V89" s="1087">
        <f t="shared" si="148"/>
        <v>-75.249000000000052</v>
      </c>
      <c r="W89" s="1087">
        <f t="shared" si="148"/>
        <v>-149.51499999999999</v>
      </c>
      <c r="X89" s="1087">
        <f t="shared" si="148"/>
        <v>111.42099999999974</v>
      </c>
      <c r="Y89" s="1087">
        <f t="shared" si="148"/>
        <v>-106.54600000000019</v>
      </c>
      <c r="Z89" s="1086">
        <f t="shared" si="148"/>
        <v>-413.60900000000061</v>
      </c>
      <c r="AA89" s="1087">
        <f t="shared" si="148"/>
        <v>-214.98899999999998</v>
      </c>
      <c r="AB89" s="1087">
        <f t="shared" si="148"/>
        <v>-220.35500000000016</v>
      </c>
      <c r="AC89" s="1087">
        <f t="shared" si="148"/>
        <v>-488.49799999999971</v>
      </c>
      <c r="AD89" s="1087">
        <f t="shared" si="148"/>
        <v>-513.0520000000007</v>
      </c>
      <c r="AE89" s="1086">
        <f t="shared" si="148"/>
        <v>-1436.8939999999993</v>
      </c>
      <c r="AF89" s="1087">
        <f t="shared" si="148"/>
        <v>-567.91200000000015</v>
      </c>
      <c r="AG89" s="1087">
        <f t="shared" si="148"/>
        <v>-520.19500000000085</v>
      </c>
      <c r="AH89" s="1087">
        <f t="shared" si="148"/>
        <v>516.24400000000014</v>
      </c>
      <c r="AI89" s="1087">
        <f t="shared" ref="AI89:AY89" si="149">INDEX(SP_NGF_NI,0,COLUMN())</f>
        <v>344.79600000000045</v>
      </c>
      <c r="AJ89" s="1086">
        <f t="shared" si="149"/>
        <v>-227.06699999999944</v>
      </c>
      <c r="AK89" s="1087">
        <f t="shared" si="149"/>
        <v>-501.35700000000026</v>
      </c>
      <c r="AL89" s="1087">
        <f t="shared" si="149"/>
        <v>-198.47100000000057</v>
      </c>
      <c r="AM89" s="1087">
        <f t="shared" si="149"/>
        <v>342</v>
      </c>
      <c r="AN89" s="1087">
        <f t="shared" si="149"/>
        <v>386.06899999999956</v>
      </c>
      <c r="AO89" s="1086">
        <f t="shared" si="149"/>
        <v>28</v>
      </c>
      <c r="AP89" s="1087">
        <f t="shared" si="149"/>
        <v>227</v>
      </c>
      <c r="AQ89" s="1087">
        <f t="shared" si="149"/>
        <v>451</v>
      </c>
      <c r="AR89" s="1087">
        <f>INDEX(SP_NGF_NI,0,COLUMN())</f>
        <v>843</v>
      </c>
      <c r="AS89" s="1087">
        <f>INDEX(SP_NGF_NI,0,COLUMN())</f>
        <v>903</v>
      </c>
      <c r="AT89" s="1086">
        <f>INDEX(SP_NGF_NI,0,COLUMN())</f>
        <v>2424</v>
      </c>
      <c r="AU89" s="1087">
        <f t="shared" si="149"/>
        <v>1057</v>
      </c>
      <c r="AV89" s="1087">
        <f>INDEX(SP_NGF_NI,0,COLUMN())</f>
        <v>1618</v>
      </c>
      <c r="AW89" s="1088">
        <f>INDEX(SP_NGF_NI,0,COLUMN())</f>
        <v>2094</v>
      </c>
      <c r="AX89" s="1087">
        <f t="shared" si="149"/>
        <v>2116.3436034073657</v>
      </c>
      <c r="AY89" s="1086">
        <f t="shared" si="149"/>
        <v>6885.3436034073648</v>
      </c>
      <c r="AZ89" s="1087">
        <f t="shared" ref="AZ89:BG89" ca="1" si="150">INDEX(SP_NGF_NI,0,COLUMN())</f>
        <v>2736.0676255690123</v>
      </c>
      <c r="BA89" s="1087">
        <f t="shared" ca="1" si="150"/>
        <v>3097.9120988816826</v>
      </c>
      <c r="BB89" s="1087">
        <f t="shared" ca="1" si="150"/>
        <v>3841.4401737867956</v>
      </c>
      <c r="BC89" s="1087">
        <f t="shared" ca="1" si="150"/>
        <v>3764.309427245375</v>
      </c>
      <c r="BD89" s="1086">
        <f t="shared" ca="1" si="150"/>
        <v>13439.729325482866</v>
      </c>
      <c r="BE89" s="1086">
        <f t="shared" ca="1" si="150"/>
        <v>16267.344831355669</v>
      </c>
      <c r="BF89" s="1086">
        <f t="shared" ca="1" si="150"/>
        <v>19187.669810803425</v>
      </c>
      <c r="BG89" s="1086">
        <f t="shared" ca="1" si="150"/>
        <v>23626.95754195207</v>
      </c>
      <c r="BH89" s="1030"/>
    </row>
    <row r="90" spans="1:60" hidden="1" outlineLevel="1" x14ac:dyDescent="0.25">
      <c r="A90" s="327" t="s">
        <v>406</v>
      </c>
      <c r="B90" s="328"/>
      <c r="C90" s="1086">
        <f>C89</f>
        <v>-53.178000000000011</v>
      </c>
      <c r="D90" s="1086">
        <f>D89</f>
        <v>-128.15</v>
      </c>
      <c r="E90" s="1086">
        <f>E89</f>
        <v>-222.24199999999996</v>
      </c>
      <c r="F90" s="1086">
        <f>F89</f>
        <v>-344.214</v>
      </c>
      <c r="G90" s="1087"/>
      <c r="H90" s="1087"/>
      <c r="I90" s="1087"/>
      <c r="J90" s="1087">
        <f>SUM(J89,I89,H89,G89)</f>
        <v>103.56200000000008</v>
      </c>
      <c r="K90" s="1086">
        <f>K89</f>
        <v>103.56200000000013</v>
      </c>
      <c r="L90" s="1087">
        <f>SUM(L89,J89,I89,H89)</f>
        <v>105.15300000000003</v>
      </c>
      <c r="M90" s="1087">
        <f>SUM(M89,L89,J89,I89)</f>
        <v>94.998999999999938</v>
      </c>
      <c r="N90" s="1087">
        <f>SUM(N89,M89,L89,J89)</f>
        <v>82.237999999999914</v>
      </c>
      <c r="O90" s="1087">
        <f>SUM(O89,N89,M89,L89)</f>
        <v>20.103999999999793</v>
      </c>
      <c r="P90" s="1086">
        <f>P89</f>
        <v>20.101000000000397</v>
      </c>
      <c r="Q90" s="1087">
        <f>SUM(Q89,O89,N89,M89)</f>
        <v>-42.160000000000089</v>
      </c>
      <c r="R90" s="1087">
        <f>SUM(R89,Q89,O89,N89)</f>
        <v>-119.10299999999999</v>
      </c>
      <c r="S90" s="1087">
        <f>SUM(S89,R89,Q89,O89)</f>
        <v>-197.22999999999996</v>
      </c>
      <c r="T90" s="1087">
        <f>SUM(T89,S89,R89,Q89)</f>
        <v>-294.86699999999985</v>
      </c>
      <c r="U90" s="1086">
        <f>U89</f>
        <v>-294.86699999999985</v>
      </c>
      <c r="V90" s="1087">
        <f>SUM(V89,T89,S89,R89)</f>
        <v>-324.86700000000002</v>
      </c>
      <c r="W90" s="1087">
        <f>SUM(W89,V89,T89,S89)</f>
        <v>-413.56799999999998</v>
      </c>
      <c r="X90" s="1087">
        <f>SUM(X89,W89,V89,T89)</f>
        <v>-227.19400000000024</v>
      </c>
      <c r="Y90" s="1087">
        <f>SUM(Y89,X89,W89,V89)</f>
        <v>-219.88900000000049</v>
      </c>
      <c r="Z90" s="1086">
        <f>Z89</f>
        <v>-413.60900000000061</v>
      </c>
      <c r="AA90" s="1087">
        <f>SUM(AA89,Y89,X89,W89)</f>
        <v>-359.62900000000047</v>
      </c>
      <c r="AB90" s="1087">
        <f>SUM(AB89,AA89,Y89,X89)</f>
        <v>-430.46900000000062</v>
      </c>
      <c r="AC90" s="1087">
        <f>SUM(AC89,AB89,AA89,Y89)</f>
        <v>-1030.3880000000001</v>
      </c>
      <c r="AD90" s="1087">
        <f>SUM(AD89,AC89,AB89,AA89)</f>
        <v>-1436.8940000000007</v>
      </c>
      <c r="AE90" s="1086">
        <f>AE89</f>
        <v>-1436.8939999999993</v>
      </c>
      <c r="AF90" s="1087">
        <f>SUM(AF89,AD89,AC89,AB89)</f>
        <v>-1789.8170000000007</v>
      </c>
      <c r="AG90" s="1087">
        <f>SUM(AG89,AF89,AD89,AC89)</f>
        <v>-2089.6570000000011</v>
      </c>
      <c r="AH90" s="1087">
        <f>SUM(AH89,AG89,AF89,AD89)</f>
        <v>-1084.9150000000016</v>
      </c>
      <c r="AI90" s="1087">
        <f>SUM(AI89,AH89,AG89,AF89)</f>
        <v>-227.06700000000035</v>
      </c>
      <c r="AJ90" s="1086">
        <f>AJ89</f>
        <v>-227.06699999999944</v>
      </c>
      <c r="AK90" s="1087">
        <f>SUM(AK89,AI89,AH89,AG89)</f>
        <v>-160.51200000000051</v>
      </c>
      <c r="AL90" s="1087">
        <f>SUM(AL89,AK89,AI89,AH89)</f>
        <v>161.2119999999997</v>
      </c>
      <c r="AM90" s="1087">
        <f>SUM(AM89,AL89,AK89,AI89)</f>
        <v>-13.03200000000038</v>
      </c>
      <c r="AN90" s="1087">
        <f>SUM(AN89,AM89,AL89,AK89)</f>
        <v>28.240999999998678</v>
      </c>
      <c r="AO90" s="1086">
        <f>AO89</f>
        <v>28</v>
      </c>
      <c r="AP90" s="1087">
        <f>SUM(AP89,AN89,AM89,AL89)</f>
        <v>756.59799999999893</v>
      </c>
      <c r="AQ90" s="1087">
        <f>SUM(AQ89,AP89,AN89,AM89)</f>
        <v>1406.0689999999995</v>
      </c>
      <c r="AR90" s="1087">
        <f>SUM(AR89,AQ89,AP89,AN89)</f>
        <v>1907.0689999999995</v>
      </c>
      <c r="AS90" s="1087">
        <f>SUM(AS89,AR89,AQ89,AP89)</f>
        <v>2424</v>
      </c>
      <c r="AT90" s="1086">
        <f>AT89</f>
        <v>2424</v>
      </c>
      <c r="AU90" s="1087">
        <f>SUM(AU89,AS89,AR89,AQ89)</f>
        <v>3254</v>
      </c>
      <c r="AV90" s="1087">
        <f>SUM(AV89,AU89,AS89,AR89)</f>
        <v>4421</v>
      </c>
      <c r="AW90" s="1088">
        <f>SUM(AW89,AV89,AU89,AS89)</f>
        <v>5672</v>
      </c>
      <c r="AX90" s="1087">
        <f>SUM(AX89,AW89,AV89,AU89)</f>
        <v>6885.3436034073657</v>
      </c>
      <c r="AY90" s="1086">
        <f>AY89</f>
        <v>6885.3436034073648</v>
      </c>
      <c r="AZ90" s="1087">
        <f ca="1">SUM(AZ89,AX89,AW89,AV89)</f>
        <v>8564.411228976378</v>
      </c>
      <c r="BA90" s="1087">
        <f ca="1">SUM(BA89,AZ89,AX89,AW89)</f>
        <v>10044.323327858061</v>
      </c>
      <c r="BB90" s="1087">
        <f ca="1">SUM(BB89,BA89,AZ89,AX89)</f>
        <v>11791.763501644857</v>
      </c>
      <c r="BC90" s="1087">
        <f ca="1">SUM(BC89,BB89,BA89,AZ89)</f>
        <v>13439.729325482866</v>
      </c>
      <c r="BD90" s="1086">
        <f ca="1">BD89</f>
        <v>13439.729325482866</v>
      </c>
      <c r="BE90" s="1086">
        <f ca="1">BE89</f>
        <v>16267.344831355669</v>
      </c>
      <c r="BF90" s="1086">
        <f ca="1">BF89</f>
        <v>19187.669810803425</v>
      </c>
      <c r="BG90" s="1086">
        <f ca="1">BG89</f>
        <v>23626.95754195207</v>
      </c>
      <c r="BH90" s="1030"/>
    </row>
    <row r="91" spans="1:60" hidden="1" outlineLevel="1" x14ac:dyDescent="0.25">
      <c r="A91" s="327" t="s">
        <v>407</v>
      </c>
      <c r="B91" s="328"/>
      <c r="C91" s="1086">
        <f t="shared" ref="C91:AH91" si="151">INDEX(MO_BS_SE,0,COLUMN())</f>
        <v>65.702000000000055</v>
      </c>
      <c r="D91" s="1086">
        <f t="shared" si="151"/>
        <v>207.04799999999994</v>
      </c>
      <c r="E91" s="1086">
        <f t="shared" si="151"/>
        <v>224.04499999999996</v>
      </c>
      <c r="F91" s="1086">
        <f t="shared" si="151"/>
        <v>124.70000000000005</v>
      </c>
      <c r="G91" s="1087">
        <f t="shared" si="151"/>
        <v>168.58300000000008</v>
      </c>
      <c r="H91" s="1087">
        <f t="shared" si="151"/>
        <v>629.42600000000016</v>
      </c>
      <c r="I91" s="1087">
        <f t="shared" si="151"/>
        <v>564.16499999999996</v>
      </c>
      <c r="J91" s="1087">
        <f t="shared" si="151"/>
        <v>667.12000000000012</v>
      </c>
      <c r="K91" s="1086">
        <f t="shared" si="151"/>
        <v>667.12000000000012</v>
      </c>
      <c r="L91" s="1087">
        <f t="shared" si="151"/>
        <v>912.05599999999959</v>
      </c>
      <c r="M91" s="1087">
        <f t="shared" si="151"/>
        <v>952.33299999999986</v>
      </c>
      <c r="N91" s="1087">
        <f t="shared" si="151"/>
        <v>958.09400000000028</v>
      </c>
      <c r="O91" s="1087">
        <f t="shared" si="151"/>
        <v>911.71000000000026</v>
      </c>
      <c r="P91" s="1086">
        <f t="shared" si="151"/>
        <v>911.71000000000026</v>
      </c>
      <c r="Q91" s="1087">
        <f t="shared" si="151"/>
        <v>825.9970000000003</v>
      </c>
      <c r="R91" s="1087">
        <f t="shared" si="151"/>
        <v>715.93399999999997</v>
      </c>
      <c r="S91" s="1087">
        <f t="shared" si="151"/>
        <v>1314.6559999999999</v>
      </c>
      <c r="T91" s="1087">
        <f t="shared" si="151"/>
        <v>1088.944</v>
      </c>
      <c r="U91" s="1086">
        <f t="shared" si="151"/>
        <v>1088.944</v>
      </c>
      <c r="V91" s="1087">
        <f t="shared" si="151"/>
        <v>970.36499999999978</v>
      </c>
      <c r="W91" s="1087">
        <f t="shared" si="151"/>
        <v>2520.2940000000003</v>
      </c>
      <c r="X91" s="1087">
        <f t="shared" si="151"/>
        <v>2680.4879999999998</v>
      </c>
      <c r="Y91" s="1087">
        <f t="shared" si="151"/>
        <v>4752.9110000000001</v>
      </c>
      <c r="Z91" s="1086">
        <f t="shared" si="151"/>
        <v>4752.9110000000001</v>
      </c>
      <c r="AA91" s="1087">
        <f t="shared" si="151"/>
        <v>4987.7189999999991</v>
      </c>
      <c r="AB91" s="1087">
        <f t="shared" si="151"/>
        <v>5105.7519999999995</v>
      </c>
      <c r="AC91" s="1087">
        <f t="shared" si="151"/>
        <v>4711.4800000000005</v>
      </c>
      <c r="AD91" s="1087">
        <f t="shared" si="151"/>
        <v>4237.2419999999993</v>
      </c>
      <c r="AE91" s="1086">
        <f t="shared" si="151"/>
        <v>4237.2419999999993</v>
      </c>
      <c r="AF91" s="1087">
        <f t="shared" si="151"/>
        <v>4450.6950000000006</v>
      </c>
      <c r="AG91" s="1087">
        <f t="shared" si="151"/>
        <v>3906.4210000000003</v>
      </c>
      <c r="AH91" s="1087">
        <f t="shared" si="151"/>
        <v>4508.8380000000006</v>
      </c>
      <c r="AI91" s="1087">
        <f t="shared" ref="AI91:AY91" si="152">INDEX(MO_BS_SE,0,COLUMN())</f>
        <v>4923.2430000000004</v>
      </c>
      <c r="AJ91" s="1086">
        <f t="shared" si="152"/>
        <v>4923.2430000000004</v>
      </c>
      <c r="AK91" s="1087">
        <f t="shared" si="152"/>
        <v>4605.5959999999995</v>
      </c>
      <c r="AL91" s="1087">
        <f t="shared" si="152"/>
        <v>5715.3930000000009</v>
      </c>
      <c r="AM91" s="1087">
        <f t="shared" si="152"/>
        <v>6040</v>
      </c>
      <c r="AN91" s="1087">
        <f t="shared" si="152"/>
        <v>6618</v>
      </c>
      <c r="AO91" s="1086">
        <f t="shared" si="152"/>
        <v>6618</v>
      </c>
      <c r="AP91" s="1087">
        <f t="shared" si="152"/>
        <v>9173</v>
      </c>
      <c r="AQ91" s="1087">
        <f t="shared" si="152"/>
        <v>9855</v>
      </c>
      <c r="AR91" s="1087">
        <f>INDEX(MO_BS_SE,0,COLUMN())</f>
        <v>16031</v>
      </c>
      <c r="AS91" s="1087">
        <f>INDEX(MO_BS_SE,0,COLUMN())</f>
        <v>22225</v>
      </c>
      <c r="AT91" s="1086">
        <f>INDEX(MO_BS_SE,0,COLUMN())</f>
        <v>22225</v>
      </c>
      <c r="AU91" s="1087">
        <f t="shared" si="152"/>
        <v>23017</v>
      </c>
      <c r="AV91" s="1087">
        <f>INDEX(MO_BS_SE,0,COLUMN())</f>
        <v>24804</v>
      </c>
      <c r="AW91" s="1088">
        <f>INDEX(MO_BS_SE,0,COLUMN())</f>
        <v>27053</v>
      </c>
      <c r="AX91" s="1087">
        <f t="shared" ca="1" si="152"/>
        <v>29034.343603407367</v>
      </c>
      <c r="AY91" s="1086">
        <f t="shared" ca="1" si="152"/>
        <v>29034.343603407367</v>
      </c>
      <c r="AZ91" s="1087">
        <f t="shared" ref="AZ91:BG91" ca="1" si="153">INDEX(MO_BS_SE,0,COLUMN())</f>
        <v>31685.41122897638</v>
      </c>
      <c r="BA91" s="1087">
        <f t="shared" ca="1" si="153"/>
        <v>34698.323327858059</v>
      </c>
      <c r="BB91" s="1087">
        <f t="shared" ca="1" si="153"/>
        <v>38604.763501644855</v>
      </c>
      <c r="BC91" s="1087">
        <f t="shared" ca="1" si="153"/>
        <v>42434.072928890229</v>
      </c>
      <c r="BD91" s="1086">
        <f t="shared" ca="1" si="153"/>
        <v>42434.072928890229</v>
      </c>
      <c r="BE91" s="1086">
        <f t="shared" ca="1" si="153"/>
        <v>58961.417760245902</v>
      </c>
      <c r="BF91" s="1086">
        <f t="shared" ca="1" si="153"/>
        <v>79209.087571049327</v>
      </c>
      <c r="BG91" s="1086">
        <f t="shared" ca="1" si="153"/>
        <v>103896.0451130014</v>
      </c>
      <c r="BH91" s="1030"/>
    </row>
    <row r="92" spans="1:60" s="73" customFormat="1" hidden="1" outlineLevel="1" x14ac:dyDescent="0.25">
      <c r="A92" s="327" t="s">
        <v>408</v>
      </c>
      <c r="B92" s="328"/>
      <c r="C92" s="1086">
        <f>C91</f>
        <v>65.702000000000055</v>
      </c>
      <c r="D92" s="1086">
        <f>AVERAGE(D91,C91)</f>
        <v>136.375</v>
      </c>
      <c r="E92" s="1086">
        <f>AVERAGE(E91,D91)</f>
        <v>215.54649999999995</v>
      </c>
      <c r="F92" s="1086">
        <f>AVERAGE(F91,E91)</f>
        <v>174.3725</v>
      </c>
      <c r="G92" s="1087"/>
      <c r="H92" s="1087"/>
      <c r="I92" s="1087"/>
      <c r="J92" s="1087">
        <f>AVERAGE(J91,I91,H91,G91)</f>
        <v>507.32350000000008</v>
      </c>
      <c r="K92" s="1086">
        <f>AVERAGE(K91,F91)</f>
        <v>395.91000000000008</v>
      </c>
      <c r="L92" s="1087">
        <f>AVERAGE(L91,J91,I91,H91)</f>
        <v>693.19174999999996</v>
      </c>
      <c r="M92" s="1087">
        <f>AVERAGE(M91,L91,J91,I91)</f>
        <v>773.91849999999988</v>
      </c>
      <c r="N92" s="1087">
        <f>AVERAGE(N91,M91,L91,J91)</f>
        <v>872.40075000000002</v>
      </c>
      <c r="O92" s="1087">
        <f>AVERAGE(O91,N91,M91,L91)</f>
        <v>933.54825000000005</v>
      </c>
      <c r="P92" s="1086">
        <f>AVERAGE(P91,K91)</f>
        <v>789.41500000000019</v>
      </c>
      <c r="Q92" s="1087">
        <f>AVERAGE(Q91,O91,N91,M91)</f>
        <v>912.03350000000023</v>
      </c>
      <c r="R92" s="1087">
        <f>AVERAGE(R91,Q91,O91,N91)</f>
        <v>852.93375000000015</v>
      </c>
      <c r="S92" s="1087">
        <f>AVERAGE(S91,R91,Q91,O91)</f>
        <v>942.07425000000012</v>
      </c>
      <c r="T92" s="1087">
        <f>AVERAGE(T91,S91,R91,Q91)</f>
        <v>986.38274999999999</v>
      </c>
      <c r="U92" s="1086">
        <f>AVERAGE(U91,P91)</f>
        <v>1000.3270000000001</v>
      </c>
      <c r="V92" s="1087">
        <f>AVERAGE(V91,T91,S91,R91)</f>
        <v>1022.4747499999999</v>
      </c>
      <c r="W92" s="1087">
        <f>AVERAGE(W91,V91,T91,S91)</f>
        <v>1473.56475</v>
      </c>
      <c r="X92" s="1087">
        <f>AVERAGE(X91,W91,V91,T91)</f>
        <v>1815.0227500000001</v>
      </c>
      <c r="Y92" s="1087">
        <f>AVERAGE(Y91,X91,W91,V91)</f>
        <v>2731.0144999999998</v>
      </c>
      <c r="Z92" s="1086">
        <f>AVERAGE(Z91,U91)</f>
        <v>2920.9274999999998</v>
      </c>
      <c r="AA92" s="1087">
        <f>AVERAGE(AA91,Y91,X91,W91)</f>
        <v>3735.3529999999996</v>
      </c>
      <c r="AB92" s="1087">
        <f>AVERAGE(AB91,AA91,Y91,X91)</f>
        <v>4381.7174999999997</v>
      </c>
      <c r="AC92" s="1087">
        <f>AVERAGE(AC91,AB91,AA91,Y91)</f>
        <v>4889.4655000000002</v>
      </c>
      <c r="AD92" s="1087">
        <f>AVERAGE(AD91,AC91,AB91,AA91)</f>
        <v>4760.5482499999998</v>
      </c>
      <c r="AE92" s="1086">
        <f>AVERAGE(AE91,Z91)</f>
        <v>4495.0764999999992</v>
      </c>
      <c r="AF92" s="1087">
        <f>AVERAGE(AF91,AD91,AC91,AB91)</f>
        <v>4626.2922500000004</v>
      </c>
      <c r="AG92" s="1087">
        <f>AVERAGE(AG91,AF91,AD91,AC91)</f>
        <v>4326.4594999999999</v>
      </c>
      <c r="AH92" s="1087">
        <f>AVERAGE(AH91,AG91,AF91,AD91)</f>
        <v>4275.799</v>
      </c>
      <c r="AI92" s="1087">
        <f>AVERAGE(AI91,AH91,AG91,AF91)</f>
        <v>4447.2992500000009</v>
      </c>
      <c r="AJ92" s="1086">
        <f>AVERAGE(AJ91,AE91)</f>
        <v>4580.2425000000003</v>
      </c>
      <c r="AK92" s="1087">
        <f>AVERAGE(AK91,AI91,AH91,AG91)</f>
        <v>4486.0244999999995</v>
      </c>
      <c r="AL92" s="1087">
        <f>AVERAGE(AL91,AK91,AI91,AH91)</f>
        <v>4938.2675000000008</v>
      </c>
      <c r="AM92" s="1087">
        <f>AVERAGE(AM91,AL91,AK91,AI91)</f>
        <v>5321.058</v>
      </c>
      <c r="AN92" s="1087">
        <f>AVERAGE(AN91,AM91,AL91,AK91)</f>
        <v>5744.7472500000003</v>
      </c>
      <c r="AO92" s="1086">
        <f>AVERAGE(AO91,AJ91)</f>
        <v>5770.6215000000002</v>
      </c>
      <c r="AP92" s="1087">
        <f>AVERAGE(AP91,AN91,AM91,AL91)</f>
        <v>6886.59825</v>
      </c>
      <c r="AQ92" s="1087">
        <f>AVERAGE(AQ91,AP91,AN91,AM91)</f>
        <v>7921.5</v>
      </c>
      <c r="AR92" s="1087">
        <f>AVERAGE(AR91,AQ91,AP91,AN91)</f>
        <v>10419.25</v>
      </c>
      <c r="AS92" s="1087">
        <f>AVERAGE(AS91,AR91,AQ91,AP91)</f>
        <v>14321</v>
      </c>
      <c r="AT92" s="1086">
        <f>AVERAGE(AT91,AO91)</f>
        <v>14421.5</v>
      </c>
      <c r="AU92" s="1087">
        <f>AVERAGE(AU91,AS91,AR91,AQ91)</f>
        <v>17782</v>
      </c>
      <c r="AV92" s="1087">
        <f>AVERAGE(AV91,AU91,AS91,AR91)</f>
        <v>21519.25</v>
      </c>
      <c r="AW92" s="1088">
        <f>AVERAGE(AW91,AV91,AU91,AS91)</f>
        <v>24274.75</v>
      </c>
      <c r="AX92" s="1087">
        <f ca="1">AVERAGE(AX91,AW91,AV91,AU91)</f>
        <v>25977.085900851842</v>
      </c>
      <c r="AY92" s="1086">
        <f ca="1">AVERAGE(AY91,AT91)</f>
        <v>25629.671801703684</v>
      </c>
      <c r="AZ92" s="1087">
        <f ca="1">AVERAGE(AZ91,AX91,AW91,AV91)</f>
        <v>28144.188708095935</v>
      </c>
      <c r="BA92" s="1087">
        <f ca="1">AVERAGE(BA91,AZ91,AX91,AW91)</f>
        <v>30617.769540060453</v>
      </c>
      <c r="BB92" s="1087">
        <f ca="1">AVERAGE(BB91,BA91,AZ91,AX91)</f>
        <v>33505.710415471665</v>
      </c>
      <c r="BC92" s="1087">
        <f ca="1">AVERAGE(BC91,BB91,BA91,AZ91)</f>
        <v>36855.642746842379</v>
      </c>
      <c r="BD92" s="1086">
        <f ca="1">AVERAGE(BD91,AY91)</f>
        <v>35734.208266148795</v>
      </c>
      <c r="BE92" s="1086">
        <f ca="1">AVERAGE(BE91,BD91)</f>
        <v>50697.745344568066</v>
      </c>
      <c r="BF92" s="1086">
        <f ca="1">AVERAGE(BF91,BE91)</f>
        <v>69085.252665647611</v>
      </c>
      <c r="BG92" s="1086">
        <f ca="1">AVERAGE(BG91,BF91)</f>
        <v>91552.566342025355</v>
      </c>
      <c r="BH92" s="1030"/>
    </row>
    <row r="93" spans="1:60" s="78" customFormat="1" collapsed="1" x14ac:dyDescent="0.25">
      <c r="A93" s="342" t="s">
        <v>409</v>
      </c>
      <c r="B93" s="343"/>
      <c r="C93" s="142">
        <f>IF(C92&lt;0,"NMF",IF(ABS(C90/C92)&gt;1,"NMF",C90/C92))</f>
        <v>-0.80938175398009138</v>
      </c>
      <c r="D93" s="142">
        <f>IF(D92&lt;0,"NMF",IF(ABS(D90/D92)&gt;1,"NMF",D90/D92))</f>
        <v>-0.93968835930339145</v>
      </c>
      <c r="E93" s="142" t="str">
        <f>IF(E92&lt;0,"NMF",IF(ABS(E90/E92)&gt;1,"NMF",E90/E92))</f>
        <v>NMF</v>
      </c>
      <c r="F93" s="142" t="str">
        <f>IF(F92&lt;0,"NMF",IF(ABS(F90/F92)&gt;1,"NMF",F90/F92))</f>
        <v>NMF</v>
      </c>
      <c r="G93" s="143"/>
      <c r="H93" s="143"/>
      <c r="I93" s="143"/>
      <c r="J93" s="143"/>
      <c r="K93" s="142">
        <f t="shared" ref="K93:AY93" si="154">IF(K92&lt;0,"NMF",IF(ABS(K90/K92)&gt;1,"NMF",K90/K92))</f>
        <v>0.261579651941098</v>
      </c>
      <c r="L93" s="143">
        <f t="shared" si="154"/>
        <v>0.15169395769640945</v>
      </c>
      <c r="M93" s="143">
        <f t="shared" si="154"/>
        <v>0.12275065139287916</v>
      </c>
      <c r="N93" s="143">
        <f t="shared" si="154"/>
        <v>9.4266310523002092E-2</v>
      </c>
      <c r="O93" s="143">
        <f t="shared" si="154"/>
        <v>2.1535041172215569E-2</v>
      </c>
      <c r="P93" s="142">
        <f t="shared" si="154"/>
        <v>2.5463159428184657E-2</v>
      </c>
      <c r="Q93" s="143">
        <f t="shared" si="154"/>
        <v>-4.6226372167250521E-2</v>
      </c>
      <c r="R93" s="143">
        <f t="shared" si="154"/>
        <v>-0.13963921582420671</v>
      </c>
      <c r="S93" s="143">
        <f t="shared" si="154"/>
        <v>-0.2093571711571566</v>
      </c>
      <c r="T93" s="143">
        <f t="shared" si="154"/>
        <v>-0.29893770952502957</v>
      </c>
      <c r="U93" s="142">
        <f t="shared" si="154"/>
        <v>-0.29477061001052635</v>
      </c>
      <c r="V93" s="143">
        <f t="shared" si="154"/>
        <v>-0.31772618345832015</v>
      </c>
      <c r="W93" s="143">
        <f t="shared" si="154"/>
        <v>-0.28065817942509819</v>
      </c>
      <c r="X93" s="143">
        <f t="shared" si="154"/>
        <v>-0.12517418858799442</v>
      </c>
      <c r="Y93" s="143">
        <f t="shared" si="154"/>
        <v>-8.0515500741574431E-2</v>
      </c>
      <c r="Z93" s="142">
        <f t="shared" si="154"/>
        <v>-0.14160193979480853</v>
      </c>
      <c r="AA93" s="143">
        <f t="shared" si="154"/>
        <v>-9.6277112230089237E-2</v>
      </c>
      <c r="AB93" s="143">
        <f t="shared" si="154"/>
        <v>-9.8242070603593371E-2</v>
      </c>
      <c r="AC93" s="143">
        <f t="shared" si="154"/>
        <v>-0.21073632690526195</v>
      </c>
      <c r="AD93" s="143">
        <f t="shared" si="154"/>
        <v>-0.30183372261797803</v>
      </c>
      <c r="AE93" s="142">
        <f t="shared" si="154"/>
        <v>-0.31965952081126975</v>
      </c>
      <c r="AF93" s="143">
        <f t="shared" si="154"/>
        <v>-0.38687936327412098</v>
      </c>
      <c r="AG93" s="143">
        <f t="shared" si="154"/>
        <v>-0.48299469808974316</v>
      </c>
      <c r="AH93" s="143">
        <f t="shared" si="154"/>
        <v>-0.25373386354222954</v>
      </c>
      <c r="AI93" s="143">
        <f t="shared" si="154"/>
        <v>-5.1057279313956733E-2</v>
      </c>
      <c r="AJ93" s="142">
        <f t="shared" si="154"/>
        <v>-4.9575322703983342E-2</v>
      </c>
      <c r="AK93" s="143">
        <f t="shared" si="154"/>
        <v>-3.5780455501301996E-2</v>
      </c>
      <c r="AL93" s="143">
        <f t="shared" si="154"/>
        <v>3.2645457136536181E-2</v>
      </c>
      <c r="AM93" s="143">
        <f t="shared" si="154"/>
        <v>-2.4491369949360409E-3</v>
      </c>
      <c r="AN93" s="143">
        <f t="shared" si="154"/>
        <v>4.9159691055161176E-3</v>
      </c>
      <c r="AO93" s="142">
        <f t="shared" si="154"/>
        <v>4.8521636707588604E-3</v>
      </c>
      <c r="AP93" s="143">
        <f t="shared" si="154"/>
        <v>0.10986527346792721</v>
      </c>
      <c r="AQ93" s="143">
        <f t="shared" si="154"/>
        <v>0.17750034715647284</v>
      </c>
      <c r="AR93" s="143">
        <f>IF(AR92&lt;0,"NMF",IF(ABS(AR90/AR92)&gt;1,"NMF",AR90/AR92))</f>
        <v>0.18303323175852385</v>
      </c>
      <c r="AS93" s="143">
        <f>IF(AS92&lt;0,"NMF",IF(ABS(AS90/AS92)&gt;1,"NMF",AS90/AS92))</f>
        <v>0.16926192305006635</v>
      </c>
      <c r="AT93" s="142">
        <f>IF(AT92&lt;0,"NMF",IF(ABS(AT90/AT92)&gt;1,"NMF",AT90/AT92))</f>
        <v>0.16808237700655271</v>
      </c>
      <c r="AU93" s="143">
        <f t="shared" ref="AU93" si="155">IF(AU92&lt;0,"NMF",IF(ABS(AU90/AU92)&gt;1,"NMF",AU90/AU92))</f>
        <v>0.1829940389157575</v>
      </c>
      <c r="AV93" s="143">
        <f>IF(AV92&lt;0,"NMF",IF(ABS(AV90/AV92)&gt;1,"NMF",AV90/AV92))</f>
        <v>0.20544396296339323</v>
      </c>
      <c r="AW93" s="766">
        <f>IF(AW92&lt;0,"NMF",IF(ABS(AW90/AW92)&gt;1,"NMF",AW90/AW92))</f>
        <v>0.23365843108579903</v>
      </c>
      <c r="AX93" s="143">
        <f t="shared" ca="1" si="154"/>
        <v>0.26505450340684983</v>
      </c>
      <c r="AY93" s="142">
        <f t="shared" ca="1" si="154"/>
        <v>0.26864735751121382</v>
      </c>
      <c r="AZ93" s="143">
        <f t="shared" ref="AZ93:BG93" ca="1" si="156">IF(AZ92&lt;0,"NMF",IF(ABS(AZ90/AZ92)&gt;1,"NMF",AZ90/AZ92))</f>
        <v>0.30430478269614308</v>
      </c>
      <c r="BA93" s="143">
        <f t="shared" ca="1" si="156"/>
        <v>0.32805535735436298</v>
      </c>
      <c r="BB93" s="143">
        <f t="shared" ca="1" si="156"/>
        <v>0.35193294979950246</v>
      </c>
      <c r="BC93" s="143">
        <f t="shared" ca="1" si="156"/>
        <v>0.36465866075919456</v>
      </c>
      <c r="BD93" s="142">
        <f t="shared" ca="1" si="156"/>
        <v>0.37610261924326421</v>
      </c>
      <c r="BE93" s="142">
        <f t="shared" ca="1" si="156"/>
        <v>0.3208691968606176</v>
      </c>
      <c r="BF93" s="142">
        <f t="shared" ca="1" si="156"/>
        <v>0.2777390118795125</v>
      </c>
      <c r="BG93" s="142">
        <f t="shared" ca="1" si="156"/>
        <v>0.25806985523142667</v>
      </c>
      <c r="BH93" s="383"/>
    </row>
    <row r="94" spans="1:60" s="73" customFormat="1" hidden="1" outlineLevel="1" x14ac:dyDescent="0.25">
      <c r="A94" s="327" t="s">
        <v>476</v>
      </c>
      <c r="B94" s="328"/>
      <c r="C94" s="1086">
        <f t="shared" ref="C94:AH94" si="157">INDEX(SP_GF_NI,0,COLUMN())+INDEX(SP_GF_IE,0,COLUMN())*(1-INDEX(SP_GF_Tax,0,COLUMN())/INDEX(SP_GF_EBT,0,COLUMN()))+INDEX(SP_GF_NCI,0,COLUMN())</f>
        <v>-53.366893060990066</v>
      </c>
      <c r="D94" s="1086">
        <f t="shared" si="157"/>
        <v>-153.59317627063669</v>
      </c>
      <c r="E94" s="1086">
        <f t="shared" si="157"/>
        <v>-254.62340826710562</v>
      </c>
      <c r="F94" s="1086">
        <f t="shared" si="157"/>
        <v>-396.24701167449768</v>
      </c>
      <c r="G94" s="1087">
        <f t="shared" si="157"/>
        <v>11.354569348188486</v>
      </c>
      <c r="H94" s="1087">
        <f t="shared" si="157"/>
        <v>-10.224901427105053</v>
      </c>
      <c r="I94" s="1087">
        <f t="shared" si="157"/>
        <v>-31.93949371652792</v>
      </c>
      <c r="J94" s="1087">
        <f t="shared" si="157"/>
        <v>-9.5689843016234732</v>
      </c>
      <c r="K94" s="1086">
        <f t="shared" si="157"/>
        <v>-40.082540447455948</v>
      </c>
      <c r="L94" s="1087">
        <f t="shared" si="157"/>
        <v>-37.86410156967608</v>
      </c>
      <c r="M94" s="1087">
        <f t="shared" si="157"/>
        <v>-30.54650370370382</v>
      </c>
      <c r="N94" s="1087">
        <f t="shared" si="157"/>
        <v>-44.435793409503951</v>
      </c>
      <c r="O94" s="1087">
        <f t="shared" si="157"/>
        <v>-78.125540891155907</v>
      </c>
      <c r="P94" s="1086">
        <f t="shared" si="157"/>
        <v>-190.98406048426733</v>
      </c>
      <c r="Q94" s="1087">
        <f t="shared" si="157"/>
        <v>-127.26020028317917</v>
      </c>
      <c r="R94" s="1087">
        <f t="shared" si="157"/>
        <v>-159.70036885562794</v>
      </c>
      <c r="S94" s="1087">
        <f t="shared" si="157"/>
        <v>-200.65030996080219</v>
      </c>
      <c r="T94" s="1087">
        <f t="shared" si="157"/>
        <v>-281.92383788754677</v>
      </c>
      <c r="U94" s="1086">
        <f t="shared" si="157"/>
        <v>-769.57263426196607</v>
      </c>
      <c r="V94" s="1087">
        <f t="shared" si="157"/>
        <v>-242.34910279397027</v>
      </c>
      <c r="W94" s="1087">
        <f t="shared" si="157"/>
        <v>-248.50588916864388</v>
      </c>
      <c r="X94" s="1087">
        <f t="shared" si="157"/>
        <v>53.848267235346626</v>
      </c>
      <c r="Y94" s="1087">
        <f t="shared" si="157"/>
        <v>-153.20147076521502</v>
      </c>
      <c r="Z94" s="1086">
        <f t="shared" si="157"/>
        <v>-575.95939578856019</v>
      </c>
      <c r="AA94" s="1087">
        <f t="shared" si="157"/>
        <v>-294.38254358528968</v>
      </c>
      <c r="AB94" s="1087">
        <f t="shared" si="157"/>
        <v>-293.56677626626595</v>
      </c>
      <c r="AC94" s="1087">
        <f t="shared" si="157"/>
        <v>-559.63235992958482</v>
      </c>
      <c r="AD94" s="1087">
        <f t="shared" si="157"/>
        <v>-632.35743142527133</v>
      </c>
      <c r="AE94" s="1086">
        <f t="shared" si="157"/>
        <v>-1782.5563284289219</v>
      </c>
      <c r="AF94" s="1087">
        <f t="shared" si="157"/>
        <v>-639.25654298594918</v>
      </c>
      <c r="AG94" s="1087">
        <f t="shared" si="157"/>
        <v>-581.20746610900812</v>
      </c>
      <c r="AH94" s="1087">
        <f t="shared" si="157"/>
        <v>412.65905576072527</v>
      </c>
      <c r="AI94" s="1087">
        <f t="shared" ref="AI94:AY94" si="158">INDEX(SP_GF_NI,0,COLUMN())+INDEX(SP_GF_IE,0,COLUMN())*(1-INDEX(SP_GF_Tax,0,COLUMN())/INDEX(SP_GF_EBT,0,COLUMN()))+INDEX(SP_GF_NCI,0,COLUMN())</f>
        <v>361.66625488454764</v>
      </c>
      <c r="AJ94" s="1086">
        <f t="shared" si="158"/>
        <v>-387.28728829105796</v>
      </c>
      <c r="AK94" s="1087">
        <f t="shared" si="158"/>
        <v>-521.27925289094446</v>
      </c>
      <c r="AL94" s="1087">
        <f t="shared" si="158"/>
        <v>-219.15360818319775</v>
      </c>
      <c r="AM94" s="1087">
        <f t="shared" si="158"/>
        <v>294.88636363636363</v>
      </c>
      <c r="AN94" s="1087">
        <f t="shared" si="158"/>
        <v>253.60396631970576</v>
      </c>
      <c r="AO94" s="1086">
        <f t="shared" si="158"/>
        <v>-35.969924812030172</v>
      </c>
      <c r="AP94" s="1087">
        <f t="shared" si="158"/>
        <v>222.45714285714286</v>
      </c>
      <c r="AQ94" s="1087">
        <f t="shared" si="158"/>
        <v>268.32</v>
      </c>
      <c r="AR94" s="1087">
        <f>INDEX(SP_GF_NI,0,COLUMN())+INDEX(SP_GF_IE,0,COLUMN())*(1-INDEX(SP_GF_Tax,0,COLUMN())/INDEX(SP_GF_EBT,0,COLUMN()))+INDEX(SP_GF_NCI,0,COLUMN())</f>
        <v>442.38378378378377</v>
      </c>
      <c r="AS94" s="1087">
        <f>INDEX(SP_GF_NI,0,COLUMN())+INDEX(SP_GF_IE,0,COLUMN())*(1-INDEX(SP_GF_Tax,0,COLUMN())/INDEX(SP_GF_EBT,0,COLUMN()))+INDEX(SP_GF_NCI,0,COLUMN())</f>
        <v>483.44063324538263</v>
      </c>
      <c r="AT94" s="1086">
        <f>INDEX(SP_GF_NI,0,COLUMN())+INDEX(SP_GF_IE,0,COLUMN())*(1-INDEX(SP_GF_Tax,0,COLUMN())/INDEX(SP_GF_EBT,0,COLUMN()))+INDEX(SP_GF_NCI,0,COLUMN())</f>
        <v>1367.3223570190642</v>
      </c>
      <c r="AU94" s="1087">
        <f t="shared" si="158"/>
        <v>541.47842401500941</v>
      </c>
      <c r="AV94" s="1087">
        <f>INDEX(SP_GF_NI,0,COLUMN())+INDEX(SP_GF_IE,0,COLUMN())*(1-INDEX(SP_GF_Tax,0,COLUMN())/INDEX(SP_GF_EBT,0,COLUMN()))+INDEX(SP_GF_NCI,0,COLUMN())</f>
        <v>1236.30781129157</v>
      </c>
      <c r="AW94" s="1088">
        <f>INDEX(SP_GF_NI,0,COLUMN())+INDEX(SP_GF_IE,0,COLUMN())*(1-INDEX(SP_GF_Tax,0,COLUMN())/INDEX(SP_GF_EBT,0,COLUMN()))+INDEX(SP_GF_NCI,0,COLUMN())</f>
        <v>1761.2550478214666</v>
      </c>
      <c r="AX94" s="1087">
        <f t="shared" si="158"/>
        <v>1808.5131367772287</v>
      </c>
      <c r="AY94" s="1086">
        <f t="shared" si="158"/>
        <v>5342.1820103588507</v>
      </c>
      <c r="AZ94" s="1087">
        <f t="shared" ref="AZ94:BG94" ca="1" si="159">INDEX(SP_GF_NI,0,COLUMN())+INDEX(SP_GF_IE,0,COLUMN())*(1-INDEX(SP_GF_Tax,0,COLUMN())/INDEX(SP_GF_EBT,0,COLUMN()))+INDEX(SP_GF_NCI,0,COLUMN())</f>
        <v>2476.868479176479</v>
      </c>
      <c r="BA94" s="1087">
        <f t="shared" ca="1" si="159"/>
        <v>2838.2551787469019</v>
      </c>
      <c r="BB94" s="1087">
        <f t="shared" ca="1" si="159"/>
        <v>3731.0904542972698</v>
      </c>
      <c r="BC94" s="1087">
        <f t="shared" ca="1" si="159"/>
        <v>3651.7040543033886</v>
      </c>
      <c r="BD94" s="1086">
        <f t="shared" ca="1" si="159"/>
        <v>12697.918166524039</v>
      </c>
      <c r="BE94" s="1086">
        <f t="shared" ca="1" si="159"/>
        <v>15814.968673997129</v>
      </c>
      <c r="BF94" s="1086">
        <f t="shared" ca="1" si="159"/>
        <v>19517.194876266989</v>
      </c>
      <c r="BG94" s="1086">
        <f t="shared" ca="1" si="159"/>
        <v>23932.264843305522</v>
      </c>
      <c r="BH94" s="1030"/>
    </row>
    <row r="95" spans="1:60" s="73" customFormat="1" hidden="1" outlineLevel="1" x14ac:dyDescent="0.25">
      <c r="A95" s="327" t="s">
        <v>410</v>
      </c>
      <c r="B95" s="328"/>
      <c r="C95" s="1086">
        <f>C94</f>
        <v>-53.366893060990066</v>
      </c>
      <c r="D95" s="1086">
        <f>D94</f>
        <v>-153.59317627063669</v>
      </c>
      <c r="E95" s="1086">
        <f>E94</f>
        <v>-254.62340826710562</v>
      </c>
      <c r="F95" s="1086">
        <f>F94</f>
        <v>-396.24701167449768</v>
      </c>
      <c r="G95" s="1087"/>
      <c r="H95" s="1087"/>
      <c r="I95" s="1087"/>
      <c r="J95" s="1087">
        <f>SUM(J94,I94,H94,G94)</f>
        <v>-40.378810097067962</v>
      </c>
      <c r="K95" s="1086">
        <f>K94</f>
        <v>-40.082540447455948</v>
      </c>
      <c r="L95" s="1087">
        <f>SUM(L94,J94,I94,H94)</f>
        <v>-89.597481014932526</v>
      </c>
      <c r="M95" s="1087">
        <f>SUM(M94,L94,J94,I94)</f>
        <v>-109.91908329153129</v>
      </c>
      <c r="N95" s="1087">
        <f>SUM(N94,M94,L94,J94)</f>
        <v>-122.41538298450733</v>
      </c>
      <c r="O95" s="1087">
        <f>SUM(O94,N94,M94,L94)</f>
        <v>-190.97193957403977</v>
      </c>
      <c r="P95" s="1086">
        <f>P94</f>
        <v>-190.98406048426733</v>
      </c>
      <c r="Q95" s="1087">
        <f>SUM(Q94,O94,N94,M94)</f>
        <v>-280.36803828754284</v>
      </c>
      <c r="R95" s="1087">
        <f>SUM(R94,Q94,O94,N94)</f>
        <v>-409.521903439467</v>
      </c>
      <c r="S95" s="1087">
        <f>SUM(S94,R94,Q94,O94)</f>
        <v>-565.73641999076517</v>
      </c>
      <c r="T95" s="1087">
        <f>SUM(T94,S94,R94,Q94)</f>
        <v>-769.53471698715612</v>
      </c>
      <c r="U95" s="1086">
        <f>U94</f>
        <v>-769.57263426196607</v>
      </c>
      <c r="V95" s="1087">
        <f>SUM(V94,T94,S94,R94)</f>
        <v>-884.62361949794729</v>
      </c>
      <c r="W95" s="1087">
        <f>SUM(W94,V94,T94,S94)</f>
        <v>-973.42913981096308</v>
      </c>
      <c r="X95" s="1087">
        <f>SUM(X94,W94,V94,T94)</f>
        <v>-718.93056261481433</v>
      </c>
      <c r="Y95" s="1087">
        <f>SUM(Y94,X94,W94,V94)</f>
        <v>-590.20819549248256</v>
      </c>
      <c r="Z95" s="1086">
        <f>Z94</f>
        <v>-575.95939578856019</v>
      </c>
      <c r="AA95" s="1087">
        <f>SUM(AA94,Y94,X94,W94)</f>
        <v>-642.24163628380199</v>
      </c>
      <c r="AB95" s="1087">
        <f>SUM(AB94,AA94,Y94,X94)</f>
        <v>-687.30252338142407</v>
      </c>
      <c r="AC95" s="1087">
        <f>SUM(AC94,AB94,AA94,Y94)</f>
        <v>-1300.7831505463553</v>
      </c>
      <c r="AD95" s="1087">
        <f>SUM(AD94,AC94,AB94,AA94)</f>
        <v>-1779.9391112064118</v>
      </c>
      <c r="AE95" s="1086">
        <f>AE94</f>
        <v>-1782.5563284289219</v>
      </c>
      <c r="AF95" s="1087">
        <f>SUM(AF94,AD94,AC94,AB94)</f>
        <v>-2124.8131106070714</v>
      </c>
      <c r="AG95" s="1087">
        <f>SUM(AG94,AF94,AD94,AC94)</f>
        <v>-2412.4538004498136</v>
      </c>
      <c r="AH95" s="1087">
        <f>SUM(AH94,AG94,AF94,AD94)</f>
        <v>-1440.1623847595033</v>
      </c>
      <c r="AI95" s="1087">
        <f>SUM(AI94,AH94,AG94,AF94)</f>
        <v>-446.1386984496844</v>
      </c>
      <c r="AJ95" s="1086">
        <f>AJ94</f>
        <v>-387.28728829105796</v>
      </c>
      <c r="AK95" s="1087">
        <f>SUM(AK94,AI94,AH94,AG94)</f>
        <v>-328.16140835467968</v>
      </c>
      <c r="AL95" s="1087">
        <f>SUM(AL94,AK94,AI94,AH94)</f>
        <v>33.892449571130669</v>
      </c>
      <c r="AM95" s="1087">
        <f>SUM(AM94,AL94,AK94,AI94)</f>
        <v>-83.880242553230971</v>
      </c>
      <c r="AN95" s="1087">
        <f>SUM(AN94,AM94,AL94,AK94)</f>
        <v>-191.94253111807279</v>
      </c>
      <c r="AO95" s="1086">
        <f>AO94</f>
        <v>-35.969924812030172</v>
      </c>
      <c r="AP95" s="1087">
        <f>SUM(AP94,AN94,AM94,AL94)</f>
        <v>551.79386463001447</v>
      </c>
      <c r="AQ95" s="1087">
        <f>SUM(AQ94,AP94,AN94,AM94)</f>
        <v>1039.2674728132124</v>
      </c>
      <c r="AR95" s="1087">
        <f>SUM(AR94,AQ94,AP94,AN94)</f>
        <v>1186.7648929606323</v>
      </c>
      <c r="AS95" s="1087">
        <f>SUM(AS94,AR94,AQ94,AP94)</f>
        <v>1416.6015598863091</v>
      </c>
      <c r="AT95" s="1086">
        <f>AT94</f>
        <v>1367.3223570190642</v>
      </c>
      <c r="AU95" s="1087">
        <f>SUM(AU94,AS94,AR94,AQ94)</f>
        <v>1735.6228410441756</v>
      </c>
      <c r="AV95" s="1087">
        <f>SUM(AV94,AU94,AS94,AR94)</f>
        <v>2703.6106523357457</v>
      </c>
      <c r="AW95" s="1088">
        <f>SUM(AW94,AV94,AU94,AS94)</f>
        <v>4022.4819163734287</v>
      </c>
      <c r="AX95" s="1087">
        <f>SUM(AX94,AW94,AV94,AU94)</f>
        <v>5347.5544199052747</v>
      </c>
      <c r="AY95" s="1086">
        <f>AY94</f>
        <v>5342.1820103588507</v>
      </c>
      <c r="AZ95" s="1087">
        <f ca="1">SUM(AZ94,AX94,AW94,AV94)</f>
        <v>7282.9444750667444</v>
      </c>
      <c r="BA95" s="1087">
        <f ca="1">SUM(BA94,AZ94,AX94,AW94)</f>
        <v>8884.8918425220763</v>
      </c>
      <c r="BB95" s="1087">
        <f ca="1">SUM(BB94,BA94,AZ94,AX94)</f>
        <v>10854.727248997879</v>
      </c>
      <c r="BC95" s="1087">
        <f ca="1">SUM(BC94,BB94,BA94,AZ94)</f>
        <v>12697.918166524039</v>
      </c>
      <c r="BD95" s="1086">
        <f ca="1">BD94</f>
        <v>12697.918166524039</v>
      </c>
      <c r="BE95" s="1086">
        <f ca="1">BE94</f>
        <v>15814.968673997129</v>
      </c>
      <c r="BF95" s="1086">
        <f ca="1">BF94</f>
        <v>19517.194876266989</v>
      </c>
      <c r="BG95" s="1086">
        <f ca="1">BG94</f>
        <v>23932.264843305522</v>
      </c>
      <c r="BH95" s="1030"/>
    </row>
    <row r="96" spans="1:60" s="73" customFormat="1" hidden="1" outlineLevel="1" x14ac:dyDescent="0.25">
      <c r="A96" s="327" t="s">
        <v>270</v>
      </c>
      <c r="B96" s="328"/>
      <c r="C96" s="1086">
        <f t="shared" ref="C96:AH96" si="160">INDEX(MO_BS_TA,0,COLUMN())</f>
        <v>130.42400000000001</v>
      </c>
      <c r="D96" s="1086">
        <f t="shared" si="160"/>
        <v>386.08199999999999</v>
      </c>
      <c r="E96" s="1086">
        <f t="shared" si="160"/>
        <v>713.44799999999987</v>
      </c>
      <c r="F96" s="1086">
        <f t="shared" si="160"/>
        <v>1114.19</v>
      </c>
      <c r="G96" s="1087">
        <f t="shared" si="160"/>
        <v>1143.778</v>
      </c>
      <c r="H96" s="1087">
        <f t="shared" si="160"/>
        <v>1887.8439999999998</v>
      </c>
      <c r="I96" s="1087">
        <f t="shared" si="160"/>
        <v>2166.2089999999998</v>
      </c>
      <c r="J96" s="1087">
        <f t="shared" si="160"/>
        <v>2416.9299999999998</v>
      </c>
      <c r="K96" s="1086">
        <f t="shared" si="160"/>
        <v>2416.9299999999998</v>
      </c>
      <c r="L96" s="1087">
        <f t="shared" si="160"/>
        <v>4500.41</v>
      </c>
      <c r="M96" s="1087">
        <f t="shared" si="160"/>
        <v>5054.4629999999997</v>
      </c>
      <c r="N96" s="1087">
        <f t="shared" si="160"/>
        <v>5437.5330000000004</v>
      </c>
      <c r="O96" s="1087">
        <f t="shared" si="160"/>
        <v>5830.6669999999995</v>
      </c>
      <c r="P96" s="1086">
        <f t="shared" si="160"/>
        <v>5830.6669999999995</v>
      </c>
      <c r="Q96" s="1087">
        <f t="shared" si="160"/>
        <v>6120.03</v>
      </c>
      <c r="R96" s="1087">
        <f t="shared" si="160"/>
        <v>6468.1849999999995</v>
      </c>
      <c r="S96" s="1087">
        <f t="shared" si="160"/>
        <v>7547.4969999999994</v>
      </c>
      <c r="T96" s="1087">
        <f t="shared" si="160"/>
        <v>8092.4599999999991</v>
      </c>
      <c r="U96" s="1086">
        <f t="shared" si="160"/>
        <v>8092.4599999999991</v>
      </c>
      <c r="V96" s="1087">
        <f t="shared" si="160"/>
        <v>9191.7019999999993</v>
      </c>
      <c r="W96" s="1087">
        <f t="shared" si="160"/>
        <v>11868.951999999999</v>
      </c>
      <c r="X96" s="1087">
        <f t="shared" si="160"/>
        <v>12592.397000000001</v>
      </c>
      <c r="Y96" s="1087">
        <f t="shared" si="160"/>
        <v>22664.076000000001</v>
      </c>
      <c r="Z96" s="1086">
        <f t="shared" si="160"/>
        <v>22664.076000000001</v>
      </c>
      <c r="AA96" s="1087">
        <f t="shared" si="160"/>
        <v>25053.725999999999</v>
      </c>
      <c r="AB96" s="1087">
        <f t="shared" si="160"/>
        <v>26043.704999999998</v>
      </c>
      <c r="AC96" s="1087">
        <f t="shared" si="160"/>
        <v>28107.074000000001</v>
      </c>
      <c r="AD96" s="1087">
        <f t="shared" si="160"/>
        <v>28655.371999999999</v>
      </c>
      <c r="AE96" s="1086">
        <f t="shared" si="160"/>
        <v>28655.371999999999</v>
      </c>
      <c r="AF96" s="1087">
        <f t="shared" si="160"/>
        <v>27271.428999999996</v>
      </c>
      <c r="AG96" s="1087">
        <f t="shared" si="160"/>
        <v>27910</v>
      </c>
      <c r="AH96" s="1087">
        <f t="shared" si="160"/>
        <v>29262.713000000003</v>
      </c>
      <c r="AI96" s="1087">
        <f t="shared" ref="AI96:AY96" si="161">INDEX(MO_BS_TA,0,COLUMN())</f>
        <v>29739.613999999994</v>
      </c>
      <c r="AJ96" s="1086">
        <f t="shared" si="161"/>
        <v>29739.613999999994</v>
      </c>
      <c r="AK96" s="1087">
        <f t="shared" si="161"/>
        <v>28912.523999999998</v>
      </c>
      <c r="AL96" s="1087">
        <f t="shared" si="161"/>
        <v>31872.596999999994</v>
      </c>
      <c r="AM96" s="1087">
        <f t="shared" si="161"/>
        <v>32795</v>
      </c>
      <c r="AN96" s="1087">
        <f t="shared" si="161"/>
        <v>34309</v>
      </c>
      <c r="AO96" s="1086">
        <f t="shared" si="161"/>
        <v>34309</v>
      </c>
      <c r="AP96" s="1087">
        <f t="shared" si="161"/>
        <v>37250</v>
      </c>
      <c r="AQ96" s="1087">
        <f t="shared" si="161"/>
        <v>38135</v>
      </c>
      <c r="AR96" s="1087">
        <f>INDEX(MO_BS_TA,0,COLUMN())</f>
        <v>45691</v>
      </c>
      <c r="AS96" s="1087">
        <f>INDEX(MO_BS_TA,0,COLUMN())</f>
        <v>52148</v>
      </c>
      <c r="AT96" s="1086">
        <f>INDEX(MO_BS_TA,0,COLUMN())</f>
        <v>52148</v>
      </c>
      <c r="AU96" s="1087">
        <f t="shared" si="161"/>
        <v>52972</v>
      </c>
      <c r="AV96" s="1087">
        <f>INDEX(MO_BS_TA,0,COLUMN())</f>
        <v>55146</v>
      </c>
      <c r="AW96" s="1088">
        <f>INDEX(MO_BS_TA,0,COLUMN())</f>
        <v>57834</v>
      </c>
      <c r="AX96" s="1087">
        <f t="shared" ca="1" si="161"/>
        <v>63853.895252318427</v>
      </c>
      <c r="AY96" s="1086">
        <f t="shared" ca="1" si="161"/>
        <v>63853.895252318427</v>
      </c>
      <c r="AZ96" s="1087">
        <f t="shared" ref="AZ96:BG96" ca="1" si="162">INDEX(MO_BS_TA,0,COLUMN())</f>
        <v>69410.879266606222</v>
      </c>
      <c r="BA96" s="1087">
        <f t="shared" ca="1" si="162"/>
        <v>76573.758534142762</v>
      </c>
      <c r="BB96" s="1087">
        <f t="shared" ca="1" si="162"/>
        <v>85768.939585068452</v>
      </c>
      <c r="BC96" s="1087">
        <f t="shared" ca="1" si="162"/>
        <v>99544.952946043806</v>
      </c>
      <c r="BD96" s="1086">
        <f t="shared" ca="1" si="162"/>
        <v>99544.952946043806</v>
      </c>
      <c r="BE96" s="1086">
        <f t="shared" ca="1" si="162"/>
        <v>126037.82697623968</v>
      </c>
      <c r="BF96" s="1086">
        <f t="shared" ca="1" si="162"/>
        <v>158168.56632723843</v>
      </c>
      <c r="BG96" s="1086">
        <f t="shared" ca="1" si="162"/>
        <v>197449.49416713827</v>
      </c>
      <c r="BH96" s="1030"/>
    </row>
    <row r="97" spans="1:60" s="73" customFormat="1" hidden="1" outlineLevel="1" x14ac:dyDescent="0.25">
      <c r="A97" s="327" t="s">
        <v>411</v>
      </c>
      <c r="B97" s="328"/>
      <c r="C97" s="1086">
        <f>C96</f>
        <v>130.42400000000001</v>
      </c>
      <c r="D97" s="1086">
        <f>AVERAGE(D96,C96)</f>
        <v>258.25299999999999</v>
      </c>
      <c r="E97" s="1086">
        <f>AVERAGE(E96,D96)</f>
        <v>549.76499999999987</v>
      </c>
      <c r="F97" s="1086">
        <f>AVERAGE(F96,E96)</f>
        <v>913.81899999999996</v>
      </c>
      <c r="G97" s="1087"/>
      <c r="H97" s="1087"/>
      <c r="I97" s="1087"/>
      <c r="J97" s="1087">
        <f>AVERAGE(J96,I96,H96,G96)</f>
        <v>1903.6902499999999</v>
      </c>
      <c r="K97" s="1086">
        <f>AVERAGE(K96,F96)</f>
        <v>1765.56</v>
      </c>
      <c r="L97" s="1087">
        <f>AVERAGE(L96,J96,I96,H96)</f>
        <v>2742.8482499999996</v>
      </c>
      <c r="M97" s="1087">
        <f>AVERAGE(M96,L96,J96,I96)</f>
        <v>3534.5029999999997</v>
      </c>
      <c r="N97" s="1087">
        <f>AVERAGE(N96,M96,L96,J96)</f>
        <v>4352.3339999999998</v>
      </c>
      <c r="O97" s="1087">
        <f>AVERAGE(O96,N96,M96,L96)</f>
        <v>5205.7682500000001</v>
      </c>
      <c r="P97" s="1086">
        <f>AVERAGE(P96,K96)</f>
        <v>4123.7984999999999</v>
      </c>
      <c r="Q97" s="1087">
        <f>AVERAGE(Q96,O96,N96,M96)</f>
        <v>5610.6732499999998</v>
      </c>
      <c r="R97" s="1087">
        <f>AVERAGE(R96,Q96,O96,N96)</f>
        <v>5964.1037499999993</v>
      </c>
      <c r="S97" s="1087">
        <f>AVERAGE(S96,R96,Q96,O96)</f>
        <v>6491.5947500000002</v>
      </c>
      <c r="T97" s="1087">
        <f>AVERAGE(T96,S96,R96,Q96)</f>
        <v>7057.0429999999997</v>
      </c>
      <c r="U97" s="1086">
        <f>AVERAGE(U96,P96)</f>
        <v>6961.5634999999993</v>
      </c>
      <c r="V97" s="1087">
        <f>AVERAGE(V96,T96,S96,R96)</f>
        <v>7824.9609999999993</v>
      </c>
      <c r="W97" s="1087">
        <f>AVERAGE(W96,V96,T96,S96)</f>
        <v>9175.1527499999993</v>
      </c>
      <c r="X97" s="1087">
        <f>AVERAGE(X96,W96,V96,T96)</f>
        <v>10436.37775</v>
      </c>
      <c r="Y97" s="1087">
        <f>AVERAGE(Y96,X96,W96,V96)</f>
        <v>14079.281749999998</v>
      </c>
      <c r="Z97" s="1086">
        <f>AVERAGE(Z96,U96)</f>
        <v>15378.268</v>
      </c>
      <c r="AA97" s="1087">
        <f>AVERAGE(AA96,Y96,X96,W96)</f>
        <v>18044.78775</v>
      </c>
      <c r="AB97" s="1087">
        <f>AVERAGE(AB96,AA96,Y96,X96)</f>
        <v>21588.475999999999</v>
      </c>
      <c r="AC97" s="1087">
        <f>AVERAGE(AC96,AB96,AA96,Y96)</f>
        <v>25467.145249999998</v>
      </c>
      <c r="AD97" s="1087">
        <f>AVERAGE(AD96,AC96,AB96,AA96)</f>
        <v>26964.969249999998</v>
      </c>
      <c r="AE97" s="1086">
        <f>AVERAGE(AE96,Z96)</f>
        <v>25659.724000000002</v>
      </c>
      <c r="AF97" s="1087">
        <f>AVERAGE(AF96,AD96,AC96,AB96)</f>
        <v>27519.395</v>
      </c>
      <c r="AG97" s="1087">
        <f>AVERAGE(AG96,AF96,AD96,AC96)</f>
        <v>27985.96875</v>
      </c>
      <c r="AH97" s="1087">
        <f>AVERAGE(AH96,AG96,AF96,AD96)</f>
        <v>28274.878499999999</v>
      </c>
      <c r="AI97" s="1087">
        <f>AVERAGE(AI96,AH96,AG96,AF96)</f>
        <v>28545.938999999998</v>
      </c>
      <c r="AJ97" s="1086">
        <f>AVERAGE(AJ96,AE96)</f>
        <v>29197.492999999995</v>
      </c>
      <c r="AK97" s="1087">
        <f>AVERAGE(AK96,AI96,AH96,AG96)</f>
        <v>28956.212749999999</v>
      </c>
      <c r="AL97" s="1087">
        <f>AVERAGE(AL96,AK96,AI96,AH96)</f>
        <v>29946.861999999997</v>
      </c>
      <c r="AM97" s="1087">
        <f>AVERAGE(AM96,AL96,AK96,AI96)</f>
        <v>30829.933749999997</v>
      </c>
      <c r="AN97" s="1087">
        <f>AVERAGE(AN96,AM96,AL96,AK96)</f>
        <v>31972.280249999996</v>
      </c>
      <c r="AO97" s="1086">
        <f>AVERAGE(AO96,AJ96)</f>
        <v>32024.306999999997</v>
      </c>
      <c r="AP97" s="1087">
        <f>AVERAGE(AP96,AN96,AM96,AL96)</f>
        <v>34056.649250000002</v>
      </c>
      <c r="AQ97" s="1087">
        <f>AVERAGE(AQ96,AP96,AN96,AM96)</f>
        <v>35622.25</v>
      </c>
      <c r="AR97" s="1087">
        <f>AVERAGE(AR96,AQ96,AP96,AN96)</f>
        <v>38846.25</v>
      </c>
      <c r="AS97" s="1087">
        <f>AVERAGE(AS96,AR96,AQ96,AP96)</f>
        <v>43306</v>
      </c>
      <c r="AT97" s="1086">
        <f>AVERAGE(AT96,AO96)</f>
        <v>43228.5</v>
      </c>
      <c r="AU97" s="1087">
        <f>AVERAGE(AU96,AS96,AR96,AQ96)</f>
        <v>47236.5</v>
      </c>
      <c r="AV97" s="1087">
        <f>AVERAGE(AV96,AU96,AS96,AR96)</f>
        <v>51489.25</v>
      </c>
      <c r="AW97" s="1088">
        <f>AVERAGE(AW96,AV96,AU96,AS96)</f>
        <v>54525</v>
      </c>
      <c r="AX97" s="1087">
        <f ca="1">AVERAGE(AX96,AW96,AV96,AU96)</f>
        <v>57451.473813079603</v>
      </c>
      <c r="AY97" s="1086">
        <f ca="1">AVERAGE(AY96,AT96)</f>
        <v>58000.947626159214</v>
      </c>
      <c r="AZ97" s="1087">
        <f ca="1">AVERAGE(AZ96,AX96,AW96,AV96)</f>
        <v>61561.193629731162</v>
      </c>
      <c r="BA97" s="1087">
        <f ca="1">AVERAGE(BA96,AZ96,AX96,AW96)</f>
        <v>66918.133263266849</v>
      </c>
      <c r="BB97" s="1087">
        <f ca="1">AVERAGE(BB96,BA96,AZ96,AX96)</f>
        <v>73901.868159533959</v>
      </c>
      <c r="BC97" s="1087">
        <f ca="1">AVERAGE(BC96,BB96,BA96,AZ96)</f>
        <v>82824.632582965307</v>
      </c>
      <c r="BD97" s="1086">
        <f ca="1">AVERAGE(BD96,AY96)</f>
        <v>81699.424099181109</v>
      </c>
      <c r="BE97" s="1086">
        <f ca="1">AVERAGE(BE96,BD96)</f>
        <v>112791.38996114174</v>
      </c>
      <c r="BF97" s="1086">
        <f ca="1">AVERAGE(BF96,BE96)</f>
        <v>142103.19665173907</v>
      </c>
      <c r="BG97" s="1086">
        <f ca="1">AVERAGE(BG96,BF96)</f>
        <v>177809.03024718835</v>
      </c>
      <c r="BH97" s="1030"/>
    </row>
    <row r="98" spans="1:60" s="78" customFormat="1" collapsed="1" x14ac:dyDescent="0.25">
      <c r="A98" s="342" t="s">
        <v>477</v>
      </c>
      <c r="B98" s="343"/>
      <c r="C98" s="142">
        <f>IF(C97&lt;0,"NMF",IF(ABS(C95/C97)&gt;1,"NMF",C95/C97))</f>
        <v>-0.40918000568139345</v>
      </c>
      <c r="D98" s="142">
        <f>IF(D97&lt;0,"NMF",IF(ABS(D95/D97)&gt;1,"NMF",D95/D97))</f>
        <v>-0.59473917542346733</v>
      </c>
      <c r="E98" s="142">
        <f>IF(E97&lt;0,"NMF",IF(ABS(E95/E97)&gt;1,"NMF",E95/E97))</f>
        <v>-0.46314954256292357</v>
      </c>
      <c r="F98" s="142">
        <f>IF(F97&lt;0,"NMF",IF(ABS(F95/F97)&gt;1,"NMF",F95/F97))</f>
        <v>-0.43361651670024121</v>
      </c>
      <c r="G98" s="143"/>
      <c r="H98" s="143"/>
      <c r="I98" s="143"/>
      <c r="J98" s="143"/>
      <c r="K98" s="142">
        <f t="shared" ref="K98:AY98" si="163">IF(K97&lt;0,"NMF",IF(ABS(K95/K97)&gt;1,"NMF",K95/K97))</f>
        <v>-2.2702451600317152E-2</v>
      </c>
      <c r="L98" s="143">
        <f t="shared" si="163"/>
        <v>-3.2665854195518304E-2</v>
      </c>
      <c r="M98" s="143">
        <f t="shared" si="163"/>
        <v>-3.1098879613776338E-2</v>
      </c>
      <c r="N98" s="143">
        <f t="shared" si="163"/>
        <v>-2.812637609717162E-2</v>
      </c>
      <c r="O98" s="143">
        <f t="shared" si="163"/>
        <v>-3.6684679456109051E-2</v>
      </c>
      <c r="P98" s="142">
        <f t="shared" si="163"/>
        <v>-4.6312655791563857E-2</v>
      </c>
      <c r="Q98" s="143">
        <f t="shared" si="163"/>
        <v>-4.9970480510078331E-2</v>
      </c>
      <c r="R98" s="143">
        <f t="shared" si="163"/>
        <v>-6.8664449950165116E-2</v>
      </c>
      <c r="S98" s="143">
        <f t="shared" si="163"/>
        <v>-8.7149066104406037E-2</v>
      </c>
      <c r="T98" s="143">
        <f t="shared" si="163"/>
        <v>-0.10904492391319652</v>
      </c>
      <c r="U98" s="142">
        <f t="shared" si="163"/>
        <v>-0.11054594765413921</v>
      </c>
      <c r="V98" s="143">
        <f t="shared" si="163"/>
        <v>-0.11305150524046667</v>
      </c>
      <c r="W98" s="143">
        <f t="shared" si="163"/>
        <v>-0.10609405274598432</v>
      </c>
      <c r="X98" s="143">
        <f t="shared" si="163"/>
        <v>-6.8886981655566684E-2</v>
      </c>
      <c r="Y98" s="143">
        <f t="shared" si="163"/>
        <v>-4.1920334145772925E-2</v>
      </c>
      <c r="Z98" s="142">
        <f t="shared" si="163"/>
        <v>-3.745281300784719E-2</v>
      </c>
      <c r="AA98" s="143">
        <f t="shared" si="163"/>
        <v>-3.5591531758737478E-2</v>
      </c>
      <c r="AB98" s="143">
        <f t="shared" si="163"/>
        <v>-3.1836546654864573E-2</v>
      </c>
      <c r="AC98" s="143">
        <f t="shared" si="163"/>
        <v>-5.1076912538768178E-2</v>
      </c>
      <c r="AD98" s="143">
        <f t="shared" si="163"/>
        <v>-6.6009313591426103E-2</v>
      </c>
      <c r="AE98" s="142">
        <f t="shared" si="163"/>
        <v>-6.9469037485708027E-2</v>
      </c>
      <c r="AF98" s="143">
        <f t="shared" si="163"/>
        <v>-7.7211476146444039E-2</v>
      </c>
      <c r="AG98" s="143">
        <f t="shared" si="163"/>
        <v>-8.6202261640480587E-2</v>
      </c>
      <c r="AH98" s="143">
        <f t="shared" si="163"/>
        <v>-5.0934343882662603E-2</v>
      </c>
      <c r="AI98" s="143">
        <f t="shared" si="163"/>
        <v>-1.5628797442945718E-2</v>
      </c>
      <c r="AJ98" s="142">
        <f t="shared" si="163"/>
        <v>-1.3264402128328552E-2</v>
      </c>
      <c r="AK98" s="143">
        <f t="shared" si="163"/>
        <v>-1.1333022422094191E-2</v>
      </c>
      <c r="AL98" s="143">
        <f t="shared" si="163"/>
        <v>1.1317529553223531E-3</v>
      </c>
      <c r="AM98" s="143">
        <f t="shared" si="163"/>
        <v>-2.7207402790228501E-3</v>
      </c>
      <c r="AN98" s="143">
        <f t="shared" si="163"/>
        <v>-6.0034044996860308E-3</v>
      </c>
      <c r="AO98" s="142">
        <f t="shared" si="163"/>
        <v>-1.1232069693820439E-3</v>
      </c>
      <c r="AP98" s="143">
        <f t="shared" si="163"/>
        <v>1.620223588584583E-2</v>
      </c>
      <c r="AQ98" s="143">
        <f t="shared" si="163"/>
        <v>2.9174672369466061E-2</v>
      </c>
      <c r="AR98" s="143">
        <f>IF(AR97&lt;0,"NMF",IF(ABS(AR95/AR97)&gt;1,"NMF",AR95/AR97))</f>
        <v>3.055030776357132E-2</v>
      </c>
      <c r="AS98" s="143">
        <f>IF(AS97&lt;0,"NMF",IF(ABS(AS95/AS97)&gt;1,"NMF",AS95/AS97))</f>
        <v>3.2711438597106846E-2</v>
      </c>
      <c r="AT98" s="142">
        <f>IF(AT97&lt;0,"NMF",IF(ABS(AT95/AT97)&gt;1,"NMF",AT95/AT97))</f>
        <v>3.163011339785244E-2</v>
      </c>
      <c r="AU98" s="143">
        <f t="shared" ref="AU98" si="164">IF(AU97&lt;0,"NMF",IF(ABS(AU95/AU97)&gt;1,"NMF",AU95/AU97))</f>
        <v>3.6743256613935744E-2</v>
      </c>
      <c r="AV98" s="143">
        <f>IF(AV97&lt;0,"NMF",IF(ABS(AV95/AV97)&gt;1,"NMF",AV95/AV97))</f>
        <v>5.2508254681040131E-2</v>
      </c>
      <c r="AW98" s="766">
        <f>IF(AW97&lt;0,"NMF",IF(ABS(AW95/AW97)&gt;1,"NMF",AW95/AW97))</f>
        <v>7.3773166737706161E-2</v>
      </c>
      <c r="AX98" s="143">
        <f t="shared" ca="1" si="163"/>
        <v>9.3079499358079687E-2</v>
      </c>
      <c r="AY98" s="142">
        <f t="shared" ca="1" si="163"/>
        <v>9.2105081537486019E-2</v>
      </c>
      <c r="AZ98" s="143">
        <f t="shared" ref="AZ98:BG98" ca="1" si="165">IF(AZ97&lt;0,"NMF",IF(ABS(AZ95/AZ97)&gt;1,"NMF",AZ95/AZ97))</f>
        <v>0.11830414658414655</v>
      </c>
      <c r="BA98" s="143">
        <f t="shared" ca="1" si="165"/>
        <v>0.13277255968225329</v>
      </c>
      <c r="BB98" s="143">
        <f t="shared" ca="1" si="165"/>
        <v>0.14688028218130408</v>
      </c>
      <c r="BC98" s="143">
        <f t="shared" ca="1" si="165"/>
        <v>0.15331089037798695</v>
      </c>
      <c r="BD98" s="142">
        <f t="shared" ca="1" si="165"/>
        <v>0.15542237055562444</v>
      </c>
      <c r="BE98" s="142">
        <f t="shared" ca="1" si="165"/>
        <v>0.14021432557436889</v>
      </c>
      <c r="BF98" s="142">
        <f t="shared" ca="1" si="165"/>
        <v>0.13734522048859296</v>
      </c>
      <c r="BG98" s="142">
        <f t="shared" ca="1" si="165"/>
        <v>0.13459532853891124</v>
      </c>
      <c r="BH98" s="383"/>
    </row>
    <row r="99" spans="1:60" s="73" customFormat="1" hidden="1" outlineLevel="1" x14ac:dyDescent="0.25">
      <c r="A99" s="327" t="s">
        <v>412</v>
      </c>
      <c r="B99" s="328"/>
      <c r="C99" s="1086">
        <f t="shared" ref="C99:AH99" si="166">INDEX(MO_BSS_Debt_Net,0,COLUMN())+INDEX(MO_BSS_Cash,0,COLUMN())</f>
        <v>2.8239999999999981</v>
      </c>
      <c r="D99" s="1086">
        <f t="shared" si="166"/>
        <v>72.603000000000009</v>
      </c>
      <c r="E99" s="1086">
        <f t="shared" si="166"/>
        <v>280.14799999999997</v>
      </c>
      <c r="F99" s="1086">
        <f t="shared" si="166"/>
        <v>466.666</v>
      </c>
      <c r="G99" s="1087">
        <f t="shared" si="166"/>
        <v>455.53800000000001</v>
      </c>
      <c r="H99" s="1087">
        <f t="shared" si="166"/>
        <v>593.68399999999997</v>
      </c>
      <c r="I99" s="1087">
        <f t="shared" si="166"/>
        <v>676.90200000000004</v>
      </c>
      <c r="J99" s="1087">
        <f t="shared" si="166"/>
        <v>606.87800000000004</v>
      </c>
      <c r="K99" s="1086">
        <f t="shared" si="166"/>
        <v>606.87800000000004</v>
      </c>
      <c r="L99" s="1087">
        <f t="shared" si="166"/>
        <v>2200.7530000000002</v>
      </c>
      <c r="M99" s="1087">
        <f t="shared" si="166"/>
        <v>2450.6179999999999</v>
      </c>
      <c r="N99" s="1087">
        <f t="shared" si="166"/>
        <v>2468.8200000000002</v>
      </c>
      <c r="O99" s="1087">
        <f t="shared" si="166"/>
        <v>2488.08</v>
      </c>
      <c r="P99" s="1086">
        <f t="shared" si="166"/>
        <v>2488.08</v>
      </c>
      <c r="Q99" s="1087">
        <f t="shared" si="166"/>
        <v>2584.5460000000003</v>
      </c>
      <c r="R99" s="1087">
        <f t="shared" si="166"/>
        <v>2687.8910000000001</v>
      </c>
      <c r="S99" s="1087">
        <f t="shared" si="166"/>
        <v>2679.384</v>
      </c>
      <c r="T99" s="1087">
        <f t="shared" si="166"/>
        <v>2715.5860000000002</v>
      </c>
      <c r="U99" s="1086">
        <f t="shared" si="166"/>
        <v>2715.5860000000002</v>
      </c>
      <c r="V99" s="1087">
        <f t="shared" si="166"/>
        <v>3162.2400000000002</v>
      </c>
      <c r="W99" s="1087">
        <f t="shared" si="166"/>
        <v>3283.9740000000002</v>
      </c>
      <c r="X99" s="1087">
        <f t="shared" si="166"/>
        <v>2715.4610000000002</v>
      </c>
      <c r="Y99" s="1087">
        <f t="shared" si="166"/>
        <v>7128.4309999999996</v>
      </c>
      <c r="Z99" s="1086">
        <f t="shared" si="166"/>
        <v>7128.4309999999996</v>
      </c>
      <c r="AA99" s="1087">
        <f t="shared" si="166"/>
        <v>8169.45</v>
      </c>
      <c r="AB99" s="1087">
        <f t="shared" si="166"/>
        <v>7943.527</v>
      </c>
      <c r="AC99" s="1087">
        <f t="shared" si="166"/>
        <v>10008.678</v>
      </c>
      <c r="AD99" s="1087">
        <f t="shared" si="166"/>
        <v>10314.838</v>
      </c>
      <c r="AE99" s="1086">
        <f t="shared" si="166"/>
        <v>10314.838</v>
      </c>
      <c r="AF99" s="1087">
        <f t="shared" si="166"/>
        <v>10761.658000000001</v>
      </c>
      <c r="AG99" s="1087">
        <f t="shared" si="166"/>
        <v>11616.474999999999</v>
      </c>
      <c r="AH99" s="1087">
        <f t="shared" si="166"/>
        <v>11779.051000000001</v>
      </c>
      <c r="AI99" s="1087">
        <f t="shared" ref="AI99:AY99" si="167">INDEX(MO_BSS_Debt_Net,0,COLUMN())+INDEX(MO_BSS_Cash,0,COLUMN())</f>
        <v>11971.371000000001</v>
      </c>
      <c r="AJ99" s="1086">
        <f t="shared" si="167"/>
        <v>11971.371000000001</v>
      </c>
      <c r="AK99" s="1087">
        <f t="shared" si="167"/>
        <v>11493.661</v>
      </c>
      <c r="AL99" s="1087">
        <f t="shared" si="167"/>
        <v>13025.486000000001</v>
      </c>
      <c r="AM99" s="1087">
        <f t="shared" si="167"/>
        <v>13343</v>
      </c>
      <c r="AN99" s="1087">
        <f t="shared" si="167"/>
        <v>13419</v>
      </c>
      <c r="AO99" s="1086">
        <f t="shared" si="167"/>
        <v>13419</v>
      </c>
      <c r="AP99" s="1087">
        <f t="shared" si="167"/>
        <v>13943</v>
      </c>
      <c r="AQ99" s="1087">
        <f t="shared" si="167"/>
        <v>14139</v>
      </c>
      <c r="AR99" s="1087">
        <f t="shared" si="167"/>
        <v>13733</v>
      </c>
      <c r="AS99" s="1087">
        <f>INDEX(MO_BSS_Debt_Net,0,COLUMN())+INDEX(MO_BSS_Cash,0,COLUMN())</f>
        <v>11739</v>
      </c>
      <c r="AT99" s="1086">
        <f>INDEX(MO_BSS_Debt_Net,0,COLUMN())+INDEX(MO_BSS_Cash,0,COLUMN())</f>
        <v>11739</v>
      </c>
      <c r="AU99" s="1087">
        <f t="shared" si="167"/>
        <v>10872</v>
      </c>
      <c r="AV99" s="1087">
        <f>INDEX(MO_BSS_Debt_Net,0,COLUMN())+INDEX(MO_BSS_Cash,0,COLUMN())</f>
        <v>9401</v>
      </c>
      <c r="AW99" s="1088">
        <f>INDEX(MO_BSS_Debt_Net,0,COLUMN())+INDEX(MO_BSS_Cash,0,COLUMN())</f>
        <v>8154</v>
      </c>
      <c r="AX99" s="1087">
        <f t="shared" ca="1" si="167"/>
        <v>8154</v>
      </c>
      <c r="AY99" s="1086">
        <f t="shared" ca="1" si="167"/>
        <v>8154</v>
      </c>
      <c r="AZ99" s="1087">
        <f t="shared" ref="AZ99:BG99" ca="1" si="168">INDEX(MO_BSS_Debt_Net,0,COLUMN())+INDEX(MO_BSS_Cash,0,COLUMN())</f>
        <v>8154</v>
      </c>
      <c r="BA99" s="1087">
        <f t="shared" ca="1" si="168"/>
        <v>8154</v>
      </c>
      <c r="BB99" s="1087">
        <f t="shared" ca="1" si="168"/>
        <v>8154</v>
      </c>
      <c r="BC99" s="1087">
        <f t="shared" ca="1" si="168"/>
        <v>8154</v>
      </c>
      <c r="BD99" s="1086">
        <f t="shared" ca="1" si="168"/>
        <v>8154</v>
      </c>
      <c r="BE99" s="1086">
        <f t="shared" ca="1" si="168"/>
        <v>8154</v>
      </c>
      <c r="BF99" s="1086">
        <f t="shared" ca="1" si="168"/>
        <v>8154</v>
      </c>
      <c r="BG99" s="1086">
        <f t="shared" ca="1" si="168"/>
        <v>8154</v>
      </c>
      <c r="BH99" s="1030"/>
    </row>
    <row r="100" spans="1:60" s="73" customFormat="1" hidden="1" outlineLevel="1" x14ac:dyDescent="0.25">
      <c r="A100" s="327" t="s">
        <v>413</v>
      </c>
      <c r="B100" s="328"/>
      <c r="C100" s="1086">
        <f>C99</f>
        <v>2.8239999999999981</v>
      </c>
      <c r="D100" s="1086">
        <f>AVERAGE(D99,C99)</f>
        <v>37.713500000000003</v>
      </c>
      <c r="E100" s="1086">
        <f>AVERAGE(E99,D99)</f>
        <v>176.37549999999999</v>
      </c>
      <c r="F100" s="1086">
        <f>AVERAGE(F99,E99)</f>
        <v>373.40699999999998</v>
      </c>
      <c r="G100" s="1087"/>
      <c r="H100" s="1087"/>
      <c r="I100" s="1087"/>
      <c r="J100" s="1087">
        <f>AVERAGE(J99,I99,H99,G99)</f>
        <v>583.2505000000001</v>
      </c>
      <c r="K100" s="1086">
        <f>AVERAGE(K99,F99)</f>
        <v>536.77200000000005</v>
      </c>
      <c r="L100" s="1087">
        <f>AVERAGE(L99,J99,I99,H99)</f>
        <v>1019.5542500000001</v>
      </c>
      <c r="M100" s="1087">
        <f>AVERAGE(M99,L99,J99,I99)</f>
        <v>1483.78775</v>
      </c>
      <c r="N100" s="1087">
        <f>AVERAGE(N99,M99,L99,J99)</f>
        <v>1931.7672500000001</v>
      </c>
      <c r="O100" s="1087">
        <f>AVERAGE(O99,N99,M99,L99)</f>
        <v>2402.0677500000002</v>
      </c>
      <c r="P100" s="1086">
        <f>AVERAGE(P99,K99)</f>
        <v>1547.479</v>
      </c>
      <c r="Q100" s="1087">
        <f>AVERAGE(Q99,O99,N99,M99)</f>
        <v>2498.0160000000001</v>
      </c>
      <c r="R100" s="1087">
        <f>AVERAGE(R99,Q99,O99,N99)</f>
        <v>2557.3342499999999</v>
      </c>
      <c r="S100" s="1087">
        <f>AVERAGE(S99,R99,Q99,O99)</f>
        <v>2609.97525</v>
      </c>
      <c r="T100" s="1087">
        <f>AVERAGE(T99,S99,R99,Q99)</f>
        <v>2666.8517500000003</v>
      </c>
      <c r="U100" s="1086">
        <f>AVERAGE(U99,P99)</f>
        <v>2601.8330000000001</v>
      </c>
      <c r="V100" s="1087">
        <f>AVERAGE(V99,T99,S99,R99)</f>
        <v>2811.2752500000001</v>
      </c>
      <c r="W100" s="1087">
        <f>AVERAGE(W99,V99,T99,S99)</f>
        <v>2960.2959999999998</v>
      </c>
      <c r="X100" s="1087">
        <f>AVERAGE(X99,W99,V99,T99)</f>
        <v>2969.3152500000006</v>
      </c>
      <c r="Y100" s="1087">
        <f>AVERAGE(Y99,X99,W99,V99)</f>
        <v>4072.5264999999999</v>
      </c>
      <c r="Z100" s="1086">
        <f>AVERAGE(Z99,U99)</f>
        <v>4922.0084999999999</v>
      </c>
      <c r="AA100" s="1087">
        <f>AVERAGE(AA99,Y99,X99,W99)</f>
        <v>5324.3289999999997</v>
      </c>
      <c r="AB100" s="1087">
        <f>AVERAGE(AB99,AA99,Y99,X99)</f>
        <v>6489.2172499999997</v>
      </c>
      <c r="AC100" s="1087">
        <f>AVERAGE(AC99,AB99,AA99,Y99)</f>
        <v>8312.5215000000007</v>
      </c>
      <c r="AD100" s="1087">
        <f>AVERAGE(AD99,AC99,AB99,AA99)</f>
        <v>9109.1232499999987</v>
      </c>
      <c r="AE100" s="1086">
        <f>AVERAGE(AE99,Z99)</f>
        <v>8721.6345000000001</v>
      </c>
      <c r="AF100" s="1087">
        <f>AVERAGE(AF99,AD99,AC99,AB99)</f>
        <v>9757.1752500000002</v>
      </c>
      <c r="AG100" s="1087">
        <f>AVERAGE(AG99,AF99,AD99,AC99)</f>
        <v>10675.412250000001</v>
      </c>
      <c r="AH100" s="1087">
        <f>AVERAGE(AH99,AG99,AF99,AD99)</f>
        <v>11118.005499999999</v>
      </c>
      <c r="AI100" s="1087">
        <f>AVERAGE(AI99,AH99,AG99,AF99)</f>
        <v>11532.13875</v>
      </c>
      <c r="AJ100" s="1086">
        <f>AVERAGE(AJ99,AE99)</f>
        <v>11143.104500000001</v>
      </c>
      <c r="AK100" s="1087">
        <f>AVERAGE(AK99,AI99,AH99,AG99)</f>
        <v>11715.139499999999</v>
      </c>
      <c r="AL100" s="1087">
        <f>AVERAGE(AL99,AK99,AI99,AH99)</f>
        <v>12067.392250000001</v>
      </c>
      <c r="AM100" s="1087">
        <f>AVERAGE(AM99,AL99,AK99,AI99)</f>
        <v>12458.379499999999</v>
      </c>
      <c r="AN100" s="1087">
        <f>AVERAGE(AN99,AM99,AL99,AK99)</f>
        <v>12820.286750000001</v>
      </c>
      <c r="AO100" s="1086">
        <f>AVERAGE(AO99,AJ99)</f>
        <v>12695.1855</v>
      </c>
      <c r="AP100" s="1087">
        <f>AVERAGE(AP99,AN99,AM99,AL99)</f>
        <v>13432.621500000001</v>
      </c>
      <c r="AQ100" s="1087">
        <f>AVERAGE(AQ99,AP99,AN99,AM99)</f>
        <v>13711</v>
      </c>
      <c r="AR100" s="1087">
        <f>AVERAGE(AR99,AQ99,AP99,AN99)</f>
        <v>13808.5</v>
      </c>
      <c r="AS100" s="1087">
        <f>AVERAGE(AS99,AR99,AQ99,AP99)</f>
        <v>13388.5</v>
      </c>
      <c r="AT100" s="1086">
        <f>AVERAGE(AT99,AO99)</f>
        <v>12579</v>
      </c>
      <c r="AU100" s="1087">
        <f>AVERAGE(AU99,AS99,AR99,AQ99)</f>
        <v>12620.75</v>
      </c>
      <c r="AV100" s="1087">
        <f>AVERAGE(AV99,AU99,AS99,AR99)</f>
        <v>11436.25</v>
      </c>
      <c r="AW100" s="1088">
        <f>AVERAGE(AW99,AV99,AU99,AS99)</f>
        <v>10041.5</v>
      </c>
      <c r="AX100" s="1087">
        <f ca="1">AVERAGE(AX99,AW99,AV99,AU99)</f>
        <v>9145.25</v>
      </c>
      <c r="AY100" s="1086">
        <f ca="1">AVERAGE(AY99,AT99)</f>
        <v>9946.5</v>
      </c>
      <c r="AZ100" s="1087">
        <f ca="1">AVERAGE(AZ99,AX99,AW99,AV99)</f>
        <v>8465.75</v>
      </c>
      <c r="BA100" s="1087">
        <f ca="1">AVERAGE(BA99,AZ99,AX99,AW99)</f>
        <v>8154</v>
      </c>
      <c r="BB100" s="1087">
        <f ca="1">AVERAGE(BB99,BA99,AZ99,AX99)</f>
        <v>8154</v>
      </c>
      <c r="BC100" s="1087">
        <f ca="1">AVERAGE(BC99,BB99,BA99,AZ99)</f>
        <v>8154</v>
      </c>
      <c r="BD100" s="1086">
        <f ca="1">AVERAGE(BD99,AY99)</f>
        <v>8154</v>
      </c>
      <c r="BE100" s="1086">
        <f ca="1">AVERAGE(BE99,BD99)</f>
        <v>8154</v>
      </c>
      <c r="BF100" s="1086">
        <f ca="1">AVERAGE(BF99,BE99)</f>
        <v>8154</v>
      </c>
      <c r="BG100" s="1086">
        <f ca="1">AVERAGE(BG99,BF99)</f>
        <v>8154</v>
      </c>
      <c r="BH100" s="1030"/>
    </row>
    <row r="101" spans="1:60" s="73" customFormat="1" hidden="1" outlineLevel="1" x14ac:dyDescent="0.25">
      <c r="A101" s="327" t="s">
        <v>414</v>
      </c>
      <c r="B101" s="328"/>
      <c r="C101" s="1086">
        <f t="shared" ref="C101:AH101" si="169">SUM(INDEX(SP_BSR_Debt_Avg,0,COLUMN()),INDEX(SP_BSR_SE_Avg,0,COLUMN()))</f>
        <v>68.526000000000053</v>
      </c>
      <c r="D101" s="1086">
        <f t="shared" si="169"/>
        <v>174.08850000000001</v>
      </c>
      <c r="E101" s="1086">
        <f t="shared" si="169"/>
        <v>391.92199999999991</v>
      </c>
      <c r="F101" s="1086">
        <f t="shared" si="169"/>
        <v>547.77949999999998</v>
      </c>
      <c r="G101" s="1087">
        <f t="shared" si="169"/>
        <v>0</v>
      </c>
      <c r="H101" s="1087">
        <f t="shared" si="169"/>
        <v>0</v>
      </c>
      <c r="I101" s="1087">
        <f t="shared" si="169"/>
        <v>0</v>
      </c>
      <c r="J101" s="1087">
        <f t="shared" si="169"/>
        <v>1090.5740000000001</v>
      </c>
      <c r="K101" s="1086">
        <f t="shared" si="169"/>
        <v>932.68200000000013</v>
      </c>
      <c r="L101" s="1087">
        <f t="shared" si="169"/>
        <v>1712.7460000000001</v>
      </c>
      <c r="M101" s="1087">
        <f t="shared" si="169"/>
        <v>2257.7062499999997</v>
      </c>
      <c r="N101" s="1087">
        <f t="shared" si="169"/>
        <v>2804.1680000000001</v>
      </c>
      <c r="O101" s="1087">
        <f t="shared" si="169"/>
        <v>3335.616</v>
      </c>
      <c r="P101" s="1086">
        <f t="shared" si="169"/>
        <v>2336.8940000000002</v>
      </c>
      <c r="Q101" s="1087">
        <f t="shared" si="169"/>
        <v>3410.0495000000001</v>
      </c>
      <c r="R101" s="1087">
        <f t="shared" si="169"/>
        <v>3410.268</v>
      </c>
      <c r="S101" s="1087">
        <f t="shared" si="169"/>
        <v>3552.0495000000001</v>
      </c>
      <c r="T101" s="1087">
        <f t="shared" si="169"/>
        <v>3653.2345000000005</v>
      </c>
      <c r="U101" s="1086">
        <f t="shared" si="169"/>
        <v>3602.1600000000003</v>
      </c>
      <c r="V101" s="1087">
        <f t="shared" si="169"/>
        <v>3833.75</v>
      </c>
      <c r="W101" s="1087">
        <f t="shared" si="169"/>
        <v>4433.8607499999998</v>
      </c>
      <c r="X101" s="1087">
        <f t="shared" si="169"/>
        <v>4784.3380000000006</v>
      </c>
      <c r="Y101" s="1087">
        <f t="shared" si="169"/>
        <v>6803.5409999999993</v>
      </c>
      <c r="Z101" s="1086">
        <f t="shared" si="169"/>
        <v>7842.9359999999997</v>
      </c>
      <c r="AA101" s="1087">
        <f t="shared" si="169"/>
        <v>9059.6819999999989</v>
      </c>
      <c r="AB101" s="1087">
        <f t="shared" si="169"/>
        <v>10870.93475</v>
      </c>
      <c r="AC101" s="1087">
        <f t="shared" si="169"/>
        <v>13201.987000000001</v>
      </c>
      <c r="AD101" s="1087">
        <f t="shared" si="169"/>
        <v>13869.671499999999</v>
      </c>
      <c r="AE101" s="1086">
        <f t="shared" si="169"/>
        <v>13216.710999999999</v>
      </c>
      <c r="AF101" s="1087">
        <f t="shared" si="169"/>
        <v>14383.467500000001</v>
      </c>
      <c r="AG101" s="1087">
        <f t="shared" si="169"/>
        <v>15001.871750000002</v>
      </c>
      <c r="AH101" s="1087">
        <f t="shared" si="169"/>
        <v>15393.804499999998</v>
      </c>
      <c r="AI101" s="1087">
        <f t="shared" ref="AI101:AY101" si="170">SUM(INDEX(SP_BSR_Debt_Avg,0,COLUMN()),INDEX(SP_BSR_SE_Avg,0,COLUMN()))</f>
        <v>15979.438000000002</v>
      </c>
      <c r="AJ101" s="1086">
        <f t="shared" si="170"/>
        <v>15723.347000000002</v>
      </c>
      <c r="AK101" s="1087">
        <f t="shared" si="170"/>
        <v>16201.163999999999</v>
      </c>
      <c r="AL101" s="1087">
        <f t="shared" si="170"/>
        <v>17005.659750000003</v>
      </c>
      <c r="AM101" s="1087">
        <f t="shared" si="170"/>
        <v>17779.4375</v>
      </c>
      <c r="AN101" s="1087">
        <f t="shared" si="170"/>
        <v>18565.034</v>
      </c>
      <c r="AO101" s="1086">
        <f t="shared" si="170"/>
        <v>18465.807000000001</v>
      </c>
      <c r="AP101" s="1087">
        <f t="shared" si="170"/>
        <v>20319.21975</v>
      </c>
      <c r="AQ101" s="1087">
        <f t="shared" si="170"/>
        <v>21632.5</v>
      </c>
      <c r="AR101" s="1087">
        <f>SUM(INDEX(SP_BSR_Debt_Avg,0,COLUMN()),INDEX(SP_BSR_SE_Avg,0,COLUMN()))</f>
        <v>24227.75</v>
      </c>
      <c r="AS101" s="1087">
        <f>SUM(INDEX(SP_BSR_Debt_Avg,0,COLUMN()),INDEX(SP_BSR_SE_Avg,0,COLUMN()))</f>
        <v>27709.5</v>
      </c>
      <c r="AT101" s="1086">
        <f>SUM(INDEX(SP_BSR_Debt_Avg,0,COLUMN()),INDEX(SP_BSR_SE_Avg,0,COLUMN()))</f>
        <v>27000.5</v>
      </c>
      <c r="AU101" s="1087">
        <f t="shared" si="170"/>
        <v>30402.75</v>
      </c>
      <c r="AV101" s="1087">
        <f>SUM(INDEX(SP_BSR_Debt_Avg,0,COLUMN()),INDEX(SP_BSR_SE_Avg,0,COLUMN()))</f>
        <v>32955.5</v>
      </c>
      <c r="AW101" s="1088">
        <f>SUM(INDEX(SP_BSR_Debt_Avg,0,COLUMN()),INDEX(SP_BSR_SE_Avg,0,COLUMN()))</f>
        <v>34316.25</v>
      </c>
      <c r="AX101" s="1087">
        <f t="shared" ca="1" si="170"/>
        <v>35122.335900851846</v>
      </c>
      <c r="AY101" s="1086">
        <f t="shared" ca="1" si="170"/>
        <v>35576.171801703684</v>
      </c>
      <c r="AZ101" s="1087">
        <f t="shared" ref="AZ101:BG101" ca="1" si="171">SUM(INDEX(SP_BSR_Debt_Avg,0,COLUMN()),INDEX(SP_BSR_SE_Avg,0,COLUMN()))</f>
        <v>36609.938708095935</v>
      </c>
      <c r="BA101" s="1087">
        <f t="shared" ca="1" si="171"/>
        <v>38771.769540060457</v>
      </c>
      <c r="BB101" s="1087">
        <f t="shared" ca="1" si="171"/>
        <v>41659.710415471665</v>
      </c>
      <c r="BC101" s="1087">
        <f t="shared" ca="1" si="171"/>
        <v>45009.642746842379</v>
      </c>
      <c r="BD101" s="1086">
        <f t="shared" ca="1" si="171"/>
        <v>43888.208266148795</v>
      </c>
      <c r="BE101" s="1086">
        <f t="shared" ca="1" si="171"/>
        <v>58851.745344568066</v>
      </c>
      <c r="BF101" s="1086">
        <f t="shared" ca="1" si="171"/>
        <v>77239.252665647611</v>
      </c>
      <c r="BG101" s="1086">
        <f t="shared" ca="1" si="171"/>
        <v>99706.566342025355</v>
      </c>
      <c r="BH101" s="1030"/>
    </row>
    <row r="102" spans="1:60" s="78" customFormat="1" collapsed="1" x14ac:dyDescent="0.25">
      <c r="A102" s="342" t="s">
        <v>415</v>
      </c>
      <c r="B102" s="343"/>
      <c r="C102" s="142">
        <f>IF(C101&lt;0,"NMF",IF(ABS(C95/C101)&gt;1,"NMF",C95/C101))</f>
        <v>-0.7787831342992444</v>
      </c>
      <c r="D102" s="142">
        <f>IF(D101&lt;0,"NMF",IF(ABS(D95/D101)&gt;1,"NMF",D95/D101))</f>
        <v>-0.88227066274128785</v>
      </c>
      <c r="E102" s="142">
        <f>IF(E101&lt;0,"NMF",IF(ABS(E95/E101)&gt;1,"NMF",E95/E101))</f>
        <v>-0.64967878370468024</v>
      </c>
      <c r="F102" s="142">
        <f>IF(F101&lt;0,"NMF",IF(ABS(F95/F101)&gt;1,"NMF",F95/F101))</f>
        <v>-0.72336955230069344</v>
      </c>
      <c r="G102" s="143"/>
      <c r="H102" s="143"/>
      <c r="I102" s="143"/>
      <c r="J102" s="143">
        <f t="shared" ref="J102:AY102" si="172">IF(J101&lt;0,"NMF",IF(ABS(J95/J101)&gt;1,"NMF",J95/J101))</f>
        <v>-3.702528218815776E-2</v>
      </c>
      <c r="K102" s="142">
        <f t="shared" si="172"/>
        <v>-4.2975569859240281E-2</v>
      </c>
      <c r="L102" s="143">
        <f t="shared" si="172"/>
        <v>-5.2312182317128475E-2</v>
      </c>
      <c r="M102" s="143">
        <f t="shared" si="172"/>
        <v>-4.8686175755385051E-2</v>
      </c>
      <c r="N102" s="143">
        <f t="shared" si="172"/>
        <v>-4.365479635475026E-2</v>
      </c>
      <c r="O102" s="143">
        <f t="shared" si="172"/>
        <v>-5.7252375445506848E-2</v>
      </c>
      <c r="P102" s="142">
        <f t="shared" si="172"/>
        <v>-8.1725598372997366E-2</v>
      </c>
      <c r="Q102" s="143">
        <f t="shared" si="172"/>
        <v>-8.2218172577126172E-2</v>
      </c>
      <c r="R102" s="143">
        <f t="shared" si="172"/>
        <v>-0.12008496207320568</v>
      </c>
      <c r="S102" s="143">
        <f t="shared" si="172"/>
        <v>-0.15927042120070825</v>
      </c>
      <c r="T102" s="143">
        <f t="shared" si="172"/>
        <v>-0.21064476342461894</v>
      </c>
      <c r="U102" s="142">
        <f t="shared" si="172"/>
        <v>-0.21364199098928588</v>
      </c>
      <c r="V102" s="143">
        <f t="shared" si="172"/>
        <v>-0.23074629788012971</v>
      </c>
      <c r="W102" s="143">
        <f t="shared" si="172"/>
        <v>-0.21954436431296656</v>
      </c>
      <c r="X102" s="143">
        <f t="shared" si="172"/>
        <v>-0.15026751091056156</v>
      </c>
      <c r="Y102" s="143">
        <f t="shared" si="172"/>
        <v>-8.6750149002186153E-2</v>
      </c>
      <c r="Z102" s="142">
        <f t="shared" si="172"/>
        <v>-7.3436707348951996E-2</v>
      </c>
      <c r="AA102" s="143">
        <f t="shared" si="172"/>
        <v>-7.0890086018891393E-2</v>
      </c>
      <c r="AB102" s="143">
        <f t="shared" si="172"/>
        <v>-6.3223866133629777E-2</v>
      </c>
      <c r="AC102" s="143">
        <f t="shared" si="172"/>
        <v>-9.8529346419319694E-2</v>
      </c>
      <c r="AD102" s="143">
        <f t="shared" si="172"/>
        <v>-0.12833318447422579</v>
      </c>
      <c r="AE102" s="142">
        <f t="shared" si="172"/>
        <v>-0.13487140094301237</v>
      </c>
      <c r="AF102" s="143">
        <f t="shared" si="172"/>
        <v>-0.14772606887783293</v>
      </c>
      <c r="AG102" s="143">
        <f t="shared" si="172"/>
        <v>-0.16081018693216154</v>
      </c>
      <c r="AH102" s="143">
        <f t="shared" si="172"/>
        <v>-9.3554675503349644E-2</v>
      </c>
      <c r="AI102" s="143">
        <f t="shared" si="172"/>
        <v>-2.7919548763209592E-2</v>
      </c>
      <c r="AJ102" s="142">
        <f t="shared" si="172"/>
        <v>-2.463135160033407E-2</v>
      </c>
      <c r="AK102" s="143">
        <f t="shared" si="172"/>
        <v>-2.0255421669373861E-2</v>
      </c>
      <c r="AL102" s="143">
        <f t="shared" si="172"/>
        <v>1.993009978406199E-3</v>
      </c>
      <c r="AM102" s="143">
        <f t="shared" si="172"/>
        <v>-4.7178231905948076E-3</v>
      </c>
      <c r="AN102" s="143">
        <f t="shared" si="172"/>
        <v>-1.0338926991357668E-2</v>
      </c>
      <c r="AO102" s="142">
        <f t="shared" si="172"/>
        <v>-1.9479205437395815E-3</v>
      </c>
      <c r="AP102" s="143">
        <f t="shared" si="172"/>
        <v>2.7156252622840719E-2</v>
      </c>
      <c r="AQ102" s="143">
        <f t="shared" si="172"/>
        <v>4.8041949511762966E-2</v>
      </c>
      <c r="AR102" s="143">
        <f>IF(AR101&lt;0,"NMF",IF(ABS(AR95/AR101)&gt;1,"NMF",AR95/AR101))</f>
        <v>4.8983702281913608E-2</v>
      </c>
      <c r="AS102" s="143">
        <f>IF(AS101&lt;0,"NMF",IF(ABS(AS95/AS101)&gt;1,"NMF",AS95/AS101))</f>
        <v>5.1123317269756191E-2</v>
      </c>
      <c r="AT102" s="142">
        <f>IF(AT101&lt;0,"NMF",IF(ABS(AT95/AT101)&gt;1,"NMF",AT95/AT101))</f>
        <v>5.06406309890211E-2</v>
      </c>
      <c r="AU102" s="143">
        <f t="shared" ref="AU102" si="173">IF(AU101&lt;0,"NMF",IF(ABS(AU95/AU101)&gt;1,"NMF",AU95/AU101))</f>
        <v>5.7087692430591828E-2</v>
      </c>
      <c r="AV102" s="143">
        <f>IF(AV101&lt;0,"NMF",IF(ABS(AV95/AV101)&gt;1,"NMF",AV95/AV101))</f>
        <v>8.2038222825802851E-2</v>
      </c>
      <c r="AW102" s="766">
        <f>IF(AW101&lt;0,"NMF",IF(ABS(AW95/AW101)&gt;1,"NMF",AW95/AW101))</f>
        <v>0.11721799195347478</v>
      </c>
      <c r="AX102" s="143">
        <f t="shared" ca="1" si="172"/>
        <v>0.15225509017968183</v>
      </c>
      <c r="AY102" s="142">
        <f t="shared" ca="1" si="172"/>
        <v>0.15016180043584743</v>
      </c>
      <c r="AZ102" s="143">
        <f t="shared" ref="AZ102:BG102" ca="1" si="174">IF(AZ101&lt;0,"NMF",IF(ABS(AZ95/AZ101)&gt;1,"NMF",AZ95/AZ101))</f>
        <v>0.19893353368155711</v>
      </c>
      <c r="BA102" s="143">
        <f t="shared" ca="1" si="174"/>
        <v>0.22915879125253416</v>
      </c>
      <c r="BB102" s="143">
        <f t="shared" ca="1" si="174"/>
        <v>0.26055695396688666</v>
      </c>
      <c r="BC102" s="143">
        <f t="shared" ca="1" si="174"/>
        <v>0.28211550662474105</v>
      </c>
      <c r="BD102" s="142">
        <f t="shared" ca="1" si="174"/>
        <v>0.28932414122537808</v>
      </c>
      <c r="BE102" s="142">
        <f t="shared" ca="1" si="174"/>
        <v>0.2687255676344496</v>
      </c>
      <c r="BF102" s="142">
        <f t="shared" ca="1" si="174"/>
        <v>0.25268492641627177</v>
      </c>
      <c r="BG102" s="142">
        <f t="shared" ca="1" si="174"/>
        <v>0.24002696834639969</v>
      </c>
      <c r="BH102" s="383"/>
    </row>
    <row r="103" spans="1:60" s="73" customFormat="1" hidden="1" outlineLevel="1" x14ac:dyDescent="0.25">
      <c r="A103" s="327" t="s">
        <v>124</v>
      </c>
      <c r="B103" s="328"/>
      <c r="C103" s="1086">
        <f t="shared" ref="C103:AH103" si="175">INDEX(MO_RIS_EBIT,0,COLUMN())</f>
        <v>-51.897000000000006</v>
      </c>
      <c r="D103" s="1086">
        <f t="shared" si="175"/>
        <v>-146.83799999999999</v>
      </c>
      <c r="E103" s="1086">
        <f t="shared" si="175"/>
        <v>-251.48799999999994</v>
      </c>
      <c r="F103" s="1086">
        <f t="shared" si="175"/>
        <v>-394.28300000000002</v>
      </c>
      <c r="G103" s="1087">
        <f t="shared" si="175"/>
        <v>-5.5839999999999463</v>
      </c>
      <c r="H103" s="1087">
        <f t="shared" si="175"/>
        <v>-11.792000000000002</v>
      </c>
      <c r="I103" s="1087">
        <f t="shared" si="175"/>
        <v>-30.554000000000002</v>
      </c>
      <c r="J103" s="1087">
        <f t="shared" si="175"/>
        <v>-13.352999999999952</v>
      </c>
      <c r="K103" s="1086">
        <f t="shared" si="175"/>
        <v>-61.282999999999902</v>
      </c>
      <c r="L103" s="1087">
        <f t="shared" si="175"/>
        <v>-43.967000000000013</v>
      </c>
      <c r="M103" s="1087">
        <f t="shared" si="175"/>
        <v>-28.7530000000001</v>
      </c>
      <c r="N103" s="1087">
        <f t="shared" si="175"/>
        <v>-39.129000000000019</v>
      </c>
      <c r="O103" s="1087">
        <f t="shared" si="175"/>
        <v>-74.838000000000079</v>
      </c>
      <c r="P103" s="1086">
        <f t="shared" si="175"/>
        <v>-186.68899999999962</v>
      </c>
      <c r="Q103" s="1087">
        <f t="shared" si="175"/>
        <v>-102.44599999999991</v>
      </c>
      <c r="R103" s="1087">
        <f t="shared" si="175"/>
        <v>-170.18799999999999</v>
      </c>
      <c r="S103" s="1087">
        <f t="shared" si="175"/>
        <v>-183.66200000000003</v>
      </c>
      <c r="T103" s="1087">
        <f t="shared" si="175"/>
        <v>-260.33299999999991</v>
      </c>
      <c r="U103" s="1086">
        <f t="shared" si="175"/>
        <v>-716.62899999999991</v>
      </c>
      <c r="V103" s="1087">
        <f t="shared" si="175"/>
        <v>-248.22400000000005</v>
      </c>
      <c r="W103" s="1087">
        <f t="shared" si="175"/>
        <v>-238.03999999999996</v>
      </c>
      <c r="X103" s="1087">
        <f t="shared" si="175"/>
        <v>85.62199999999973</v>
      </c>
      <c r="Y103" s="1087">
        <f t="shared" si="175"/>
        <v>-266.69800000000021</v>
      </c>
      <c r="Z103" s="1086">
        <f t="shared" si="175"/>
        <v>-667.3400000000006</v>
      </c>
      <c r="AA103" s="1087">
        <f t="shared" si="175"/>
        <v>-257.54899999999998</v>
      </c>
      <c r="AB103" s="1087">
        <f t="shared" si="175"/>
        <v>-240.91600000000017</v>
      </c>
      <c r="AC103" s="1087">
        <f t="shared" si="175"/>
        <v>-535.47999999999979</v>
      </c>
      <c r="AD103" s="1087">
        <f t="shared" si="175"/>
        <v>-598.14100000000076</v>
      </c>
      <c r="AE103" s="1086">
        <f t="shared" si="175"/>
        <v>-1632.0859999999993</v>
      </c>
      <c r="AF103" s="1087">
        <f t="shared" si="175"/>
        <v>-596.97400000000016</v>
      </c>
      <c r="AG103" s="1087">
        <f t="shared" si="175"/>
        <v>-621.39200000000096</v>
      </c>
      <c r="AH103" s="1087">
        <f t="shared" si="175"/>
        <v>416.75700000000006</v>
      </c>
      <c r="AI103" s="1087">
        <f t="shared" ref="AI103:AY103" si="176">INDEX(MO_RIS_EBIT,0,COLUMN())</f>
        <v>413.53600000000051</v>
      </c>
      <c r="AJ103" s="1086">
        <f t="shared" si="176"/>
        <v>-388.07299999999941</v>
      </c>
      <c r="AK103" s="1087">
        <f t="shared" si="176"/>
        <v>-521.83100000000013</v>
      </c>
      <c r="AL103" s="1087">
        <f t="shared" si="176"/>
        <v>-167.45800000000054</v>
      </c>
      <c r="AM103" s="1087">
        <f t="shared" si="176"/>
        <v>261</v>
      </c>
      <c r="AN103" s="1087">
        <f t="shared" si="176"/>
        <v>359.28899999999953</v>
      </c>
      <c r="AO103" s="1086">
        <f t="shared" si="176"/>
        <v>-69</v>
      </c>
      <c r="AP103" s="1087">
        <f t="shared" si="176"/>
        <v>283</v>
      </c>
      <c r="AQ103" s="1087">
        <f t="shared" si="176"/>
        <v>327</v>
      </c>
      <c r="AR103" s="1087">
        <f>INDEX(MO_RIS_EBIT,0,COLUMN())</f>
        <v>809</v>
      </c>
      <c r="AS103" s="1087">
        <f>INDEX(MO_RIS_EBIT,0,COLUMN())</f>
        <v>575</v>
      </c>
      <c r="AT103" s="1086">
        <f>INDEX(MO_RIS_EBIT,0,COLUMN())</f>
        <v>1994</v>
      </c>
      <c r="AU103" s="1087">
        <f t="shared" si="176"/>
        <v>594</v>
      </c>
      <c r="AV103" s="1087">
        <f>INDEX(MO_RIS_EBIT,0,COLUMN())</f>
        <v>1312</v>
      </c>
      <c r="AW103" s="1088">
        <f>INDEX(MO_RIS_EBIT,0,COLUMN())</f>
        <v>2004</v>
      </c>
      <c r="AX103" s="1087">
        <f t="shared" si="176"/>
        <v>2314.2571351610486</v>
      </c>
      <c r="AY103" s="1086">
        <f t="shared" si="176"/>
        <v>6224.2571351610486</v>
      </c>
      <c r="AZ103" s="1087">
        <f t="shared" ref="AZ103:BG103" si="177">INDEX(MO_RIS_EBIT,0,COLUMN())</f>
        <v>3160.2765559195923</v>
      </c>
      <c r="BA103" s="1087">
        <f t="shared" si="177"/>
        <v>3617.7280743631654</v>
      </c>
      <c r="BB103" s="1087">
        <f t="shared" si="177"/>
        <v>4747.8993092370511</v>
      </c>
      <c r="BC103" s="1087">
        <f t="shared" si="177"/>
        <v>4647.4101953207473</v>
      </c>
      <c r="BD103" s="1086">
        <f t="shared" si="177"/>
        <v>16173.314134840555</v>
      </c>
      <c r="BE103" s="1086">
        <f t="shared" si="177"/>
        <v>20118.947688603952</v>
      </c>
      <c r="BF103" s="1086">
        <f t="shared" si="177"/>
        <v>24805.309969958224</v>
      </c>
      <c r="BG103" s="1086">
        <f t="shared" si="177"/>
        <v>30394.006130766487</v>
      </c>
      <c r="BH103" s="1030"/>
    </row>
    <row r="104" spans="1:60" s="73" customFormat="1" hidden="1" outlineLevel="1" x14ac:dyDescent="0.25">
      <c r="A104" s="327" t="s">
        <v>416</v>
      </c>
      <c r="B104" s="328"/>
      <c r="C104" s="1086">
        <f>C103</f>
        <v>-51.897000000000006</v>
      </c>
      <c r="D104" s="1086">
        <f>D103</f>
        <v>-146.83799999999999</v>
      </c>
      <c r="E104" s="1086">
        <f>E103</f>
        <v>-251.48799999999994</v>
      </c>
      <c r="F104" s="1086">
        <f>F103</f>
        <v>-394.28300000000002</v>
      </c>
      <c r="G104" s="1087"/>
      <c r="H104" s="1087"/>
      <c r="I104" s="1087"/>
      <c r="J104" s="1087">
        <f>SUM(J103,I103,H103,G103)</f>
        <v>-61.282999999999902</v>
      </c>
      <c r="K104" s="1086">
        <f>K103</f>
        <v>-61.282999999999902</v>
      </c>
      <c r="L104" s="1087">
        <f>SUM(L103,J103,I103,H103)</f>
        <v>-99.665999999999968</v>
      </c>
      <c r="M104" s="1087">
        <f>SUM(M103,L103,J103,I103)</f>
        <v>-116.62700000000007</v>
      </c>
      <c r="N104" s="1087">
        <f>SUM(N103,M103,L103,J103)</f>
        <v>-125.20200000000008</v>
      </c>
      <c r="O104" s="1087">
        <f>SUM(O103,N103,M103,L103)</f>
        <v>-186.68700000000021</v>
      </c>
      <c r="P104" s="1086">
        <f>P103</f>
        <v>-186.68899999999962</v>
      </c>
      <c r="Q104" s="1087">
        <f>SUM(Q103,O103,N103,M103)</f>
        <v>-245.16600000000011</v>
      </c>
      <c r="R104" s="1087">
        <f>SUM(R103,Q103,O103,N103)</f>
        <v>-386.601</v>
      </c>
      <c r="S104" s="1087">
        <f>SUM(S103,R103,Q103,O103)</f>
        <v>-531.13400000000001</v>
      </c>
      <c r="T104" s="1087">
        <f>SUM(T103,S103,R103,Q103)</f>
        <v>-716.62899999999991</v>
      </c>
      <c r="U104" s="1086">
        <f>U103</f>
        <v>-716.62899999999991</v>
      </c>
      <c r="V104" s="1087">
        <f>SUM(V103,T103,S103,R103)</f>
        <v>-862.40700000000004</v>
      </c>
      <c r="W104" s="1087">
        <f>SUM(W103,V103,T103,S103)</f>
        <v>-930.25900000000001</v>
      </c>
      <c r="X104" s="1087">
        <f>SUM(X103,W103,V103,T103)</f>
        <v>-660.97500000000014</v>
      </c>
      <c r="Y104" s="1087">
        <f>SUM(Y103,X103,W103,V103)</f>
        <v>-667.34000000000049</v>
      </c>
      <c r="Z104" s="1086">
        <f>Z103</f>
        <v>-667.3400000000006</v>
      </c>
      <c r="AA104" s="1087">
        <f>SUM(AA103,Y103,X103,W103)</f>
        <v>-676.66500000000042</v>
      </c>
      <c r="AB104" s="1087">
        <f>SUM(AB103,AA103,Y103,X103)</f>
        <v>-679.54100000000062</v>
      </c>
      <c r="AC104" s="1087">
        <f>SUM(AC103,AB103,AA103,Y103)</f>
        <v>-1300.643</v>
      </c>
      <c r="AD104" s="1087">
        <f>SUM(AD103,AC103,AB103,AA103)</f>
        <v>-1632.0860000000007</v>
      </c>
      <c r="AE104" s="1086">
        <f>AE103</f>
        <v>-1632.0859999999993</v>
      </c>
      <c r="AF104" s="1087">
        <f>SUM(AF103,AD103,AC103,AB103)</f>
        <v>-1971.5110000000009</v>
      </c>
      <c r="AG104" s="1087">
        <f>SUM(AG103,AF103,AD103,AC103)</f>
        <v>-2351.9870000000019</v>
      </c>
      <c r="AH104" s="1087">
        <f>SUM(AH103,AG103,AF103,AD103)</f>
        <v>-1399.7500000000018</v>
      </c>
      <c r="AI104" s="1087">
        <f>SUM(AI103,AH103,AG103,AF103)</f>
        <v>-388.07300000000055</v>
      </c>
      <c r="AJ104" s="1086">
        <f>AJ103</f>
        <v>-388.07299999999941</v>
      </c>
      <c r="AK104" s="1087">
        <f>SUM(AK103,AI103,AH103,AG103)</f>
        <v>-312.93000000000052</v>
      </c>
      <c r="AL104" s="1087">
        <f>SUM(AL103,AK103,AI103,AH103)</f>
        <v>141.00399999999991</v>
      </c>
      <c r="AM104" s="1087">
        <f>SUM(AM103,AL103,AK103,AI103)</f>
        <v>-14.753000000000156</v>
      </c>
      <c r="AN104" s="1087">
        <f>SUM(AN103,AM103,AL103,AK103)</f>
        <v>-69.000000000001137</v>
      </c>
      <c r="AO104" s="1086">
        <f>AO103</f>
        <v>-69</v>
      </c>
      <c r="AP104" s="1087">
        <f>SUM(AP103,AN103,AM103,AL103)</f>
        <v>735.83099999999899</v>
      </c>
      <c r="AQ104" s="1087">
        <f>SUM(AQ103,AP103,AN103,AM103)</f>
        <v>1230.2889999999995</v>
      </c>
      <c r="AR104" s="1087">
        <f>SUM(AR103,AQ103,AP103,AN103)</f>
        <v>1778.2889999999995</v>
      </c>
      <c r="AS104" s="1087">
        <f>SUM(AS103,AR103,AQ103,AP103)</f>
        <v>1994</v>
      </c>
      <c r="AT104" s="1086">
        <f>AT103</f>
        <v>1994</v>
      </c>
      <c r="AU104" s="1087">
        <f>SUM(AU103,AS103,AR103,AQ103)</f>
        <v>2305</v>
      </c>
      <c r="AV104" s="1087">
        <f>SUM(AV103,AU103,AS103,AR103)</f>
        <v>3290</v>
      </c>
      <c r="AW104" s="1088">
        <f>SUM(AW103,AV103,AU103,AS103)</f>
        <v>4485</v>
      </c>
      <c r="AX104" s="1087">
        <f>SUM(AX103,AW103,AV103,AU103)</f>
        <v>6224.2571351610486</v>
      </c>
      <c r="AY104" s="1086">
        <f>AY103</f>
        <v>6224.2571351610486</v>
      </c>
      <c r="AZ104" s="1087">
        <f>SUM(AZ103,AX103,AW103,AV103)</f>
        <v>8790.53369108064</v>
      </c>
      <c r="BA104" s="1087">
        <f>SUM(BA103,AZ103,AX103,AW103)</f>
        <v>11096.261765443807</v>
      </c>
      <c r="BB104" s="1087">
        <f>SUM(BB103,BA103,AZ103,AX103)</f>
        <v>13840.161074680858</v>
      </c>
      <c r="BC104" s="1087">
        <f>SUM(BC103,BB103,BA103,AZ103)</f>
        <v>16173.314134840555</v>
      </c>
      <c r="BD104" s="1086">
        <f>BD103</f>
        <v>16173.314134840555</v>
      </c>
      <c r="BE104" s="1086">
        <f>BE103</f>
        <v>20118.947688603952</v>
      </c>
      <c r="BF104" s="1086">
        <f>BF103</f>
        <v>24805.309969958224</v>
      </c>
      <c r="BG104" s="1086">
        <f>BG103</f>
        <v>30394.006130766487</v>
      </c>
      <c r="BH104" s="1030"/>
    </row>
    <row r="105" spans="1:60" s="73" customFormat="1" hidden="1" outlineLevel="1" x14ac:dyDescent="0.25">
      <c r="A105" s="327" t="s">
        <v>271</v>
      </c>
      <c r="B105" s="328"/>
      <c r="C105" s="1086">
        <f t="shared" ref="C105:AH105" si="178">INDEX(MO_BS_CL,0,COLUMN())</f>
        <v>57.488999999999997</v>
      </c>
      <c r="D105" s="1086">
        <f t="shared" si="178"/>
        <v>85.564999999999998</v>
      </c>
      <c r="E105" s="1086">
        <f t="shared" si="178"/>
        <v>191.339</v>
      </c>
      <c r="F105" s="1086">
        <f t="shared" si="178"/>
        <v>539.10800000000006</v>
      </c>
      <c r="G105" s="1087">
        <f t="shared" si="178"/>
        <v>535.62300000000005</v>
      </c>
      <c r="H105" s="1087">
        <f t="shared" si="178"/>
        <v>486.54499999999996</v>
      </c>
      <c r="I105" s="1087">
        <f t="shared" si="178"/>
        <v>1169.4590000000001</v>
      </c>
      <c r="J105" s="1087">
        <f t="shared" si="178"/>
        <v>675.16000000000008</v>
      </c>
      <c r="K105" s="1086">
        <f t="shared" si="178"/>
        <v>675.16000000000008</v>
      </c>
      <c r="L105" s="1087">
        <f t="shared" si="178"/>
        <v>1413.47</v>
      </c>
      <c r="M105" s="1087">
        <f t="shared" si="178"/>
        <v>1575.8500000000001</v>
      </c>
      <c r="N105" s="1087">
        <f t="shared" si="178"/>
        <v>1839.777</v>
      </c>
      <c r="O105" s="1087">
        <f t="shared" si="178"/>
        <v>2107.1660000000002</v>
      </c>
      <c r="P105" s="1086">
        <f t="shared" si="178"/>
        <v>2107.1660000000002</v>
      </c>
      <c r="Q105" s="1087">
        <f t="shared" si="178"/>
        <v>2192.3809999999999</v>
      </c>
      <c r="R105" s="1087">
        <f t="shared" si="178"/>
        <v>2384.3879999999999</v>
      </c>
      <c r="S105" s="1087">
        <f t="shared" si="178"/>
        <v>2553.7710000000002</v>
      </c>
      <c r="T105" s="1087">
        <f t="shared" si="178"/>
        <v>2816.2740000000003</v>
      </c>
      <c r="U105" s="1086">
        <f t="shared" si="178"/>
        <v>2816.2740000000003</v>
      </c>
      <c r="V105" s="1087">
        <f t="shared" si="178"/>
        <v>3187.6990000000001</v>
      </c>
      <c r="W105" s="1087">
        <f t="shared" si="178"/>
        <v>3766.4039999999995</v>
      </c>
      <c r="X105" s="1087">
        <f t="shared" si="178"/>
        <v>4082.3900000000003</v>
      </c>
      <c r="Y105" s="1087">
        <f t="shared" si="178"/>
        <v>5827.0049999999992</v>
      </c>
      <c r="Z105" s="1086">
        <f t="shared" si="178"/>
        <v>5827.0049999999992</v>
      </c>
      <c r="AA105" s="1087">
        <f t="shared" si="178"/>
        <v>6245.4390000000003</v>
      </c>
      <c r="AB105" s="1087">
        <f t="shared" si="178"/>
        <v>6546.3549999999996</v>
      </c>
      <c r="AC105" s="1087">
        <f t="shared" si="178"/>
        <v>6468.9400000000005</v>
      </c>
      <c r="AD105" s="1087">
        <f t="shared" si="178"/>
        <v>7674.67</v>
      </c>
      <c r="AE105" s="1086">
        <f t="shared" si="178"/>
        <v>7674.67</v>
      </c>
      <c r="AF105" s="1087">
        <f t="shared" si="178"/>
        <v>8650.3590000000004</v>
      </c>
      <c r="AG105" s="1087">
        <f t="shared" si="178"/>
        <v>9141.3619999999992</v>
      </c>
      <c r="AH105" s="1087">
        <f t="shared" si="178"/>
        <v>9775.3240000000005</v>
      </c>
      <c r="AI105" s="1087">
        <f t="shared" ref="AI105:AY105" si="179">INDEX(MO_BS_CL,0,COLUMN())</f>
        <v>9992.1360000000004</v>
      </c>
      <c r="AJ105" s="1086">
        <f t="shared" si="179"/>
        <v>9992.1360000000004</v>
      </c>
      <c r="AK105" s="1087">
        <f t="shared" si="179"/>
        <v>9242.7999999999993</v>
      </c>
      <c r="AL105" s="1087">
        <f t="shared" si="179"/>
        <v>9588.773000000001</v>
      </c>
      <c r="AM105" s="1087">
        <f t="shared" si="179"/>
        <v>10146</v>
      </c>
      <c r="AN105" s="1087">
        <f t="shared" si="179"/>
        <v>10667</v>
      </c>
      <c r="AO105" s="1086">
        <f t="shared" si="179"/>
        <v>10667</v>
      </c>
      <c r="AP105" s="1087">
        <f t="shared" si="179"/>
        <v>11986</v>
      </c>
      <c r="AQ105" s="1087">
        <f t="shared" si="179"/>
        <v>12270</v>
      </c>
      <c r="AR105" s="1087">
        <f>INDEX(MO_BS_CL,0,COLUMN())</f>
        <v>13302</v>
      </c>
      <c r="AS105" s="1087">
        <f>INDEX(MO_BS_CL,0,COLUMN())</f>
        <v>14248</v>
      </c>
      <c r="AT105" s="1086">
        <f>INDEX(MO_BS_CL,0,COLUMN())</f>
        <v>14248</v>
      </c>
      <c r="AU105" s="1087">
        <f t="shared" si="179"/>
        <v>14877</v>
      </c>
      <c r="AV105" s="1087">
        <f>INDEX(MO_BS_CL,0,COLUMN())</f>
        <v>16371</v>
      </c>
      <c r="AW105" s="1088">
        <f>INDEX(MO_BS_CL,0,COLUMN())</f>
        <v>18051</v>
      </c>
      <c r="AX105" s="1087">
        <f t="shared" si="179"/>
        <v>22079.55164891106</v>
      </c>
      <c r="AY105" s="1086">
        <f t="shared" si="179"/>
        <v>22079.55164891106</v>
      </c>
      <c r="AZ105" s="1087">
        <f t="shared" ref="AZ105:BG105" ca="1" si="180">INDEX(MO_BS_CL,0,COLUMN())</f>
        <v>24975.468037629857</v>
      </c>
      <c r="BA105" s="1087">
        <f t="shared" ca="1" si="180"/>
        <v>29115.435206284696</v>
      </c>
      <c r="BB105" s="1087">
        <f t="shared" ca="1" si="180"/>
        <v>34394.17608342359</v>
      </c>
      <c r="BC105" s="1087">
        <f t="shared" ca="1" si="180"/>
        <v>44330.880017153584</v>
      </c>
      <c r="BD105" s="1086">
        <f t="shared" ca="1" si="180"/>
        <v>44330.880017153584</v>
      </c>
      <c r="BE105" s="1086">
        <f t="shared" ca="1" si="180"/>
        <v>54256.409215993772</v>
      </c>
      <c r="BF105" s="1086">
        <f t="shared" ca="1" si="180"/>
        <v>66099.478756189099</v>
      </c>
      <c r="BG105" s="1086">
        <f t="shared" ca="1" si="180"/>
        <v>80653.449054136858</v>
      </c>
      <c r="BH105" s="1030"/>
    </row>
    <row r="106" spans="1:60" s="73" customFormat="1" hidden="1" outlineLevel="1" x14ac:dyDescent="0.25">
      <c r="A106" s="327" t="s">
        <v>417</v>
      </c>
      <c r="B106" s="328"/>
      <c r="C106" s="1086">
        <f>C105</f>
        <v>57.488999999999997</v>
      </c>
      <c r="D106" s="1086">
        <f>AVERAGE(D105,C105)</f>
        <v>71.527000000000001</v>
      </c>
      <c r="E106" s="1086">
        <f>AVERAGE(E105,D105)</f>
        <v>138.452</v>
      </c>
      <c r="F106" s="1086">
        <f>AVERAGE(F105,E105)</f>
        <v>365.22350000000006</v>
      </c>
      <c r="G106" s="1087"/>
      <c r="H106" s="1087"/>
      <c r="I106" s="1087"/>
      <c r="J106" s="1087">
        <f>AVERAGE(J105,I105,H105,G105)</f>
        <v>716.69675000000007</v>
      </c>
      <c r="K106" s="1086">
        <f>AVERAGE(K105,F105)</f>
        <v>607.13400000000001</v>
      </c>
      <c r="L106" s="1087">
        <f>AVERAGE(L105,J105,I105,H105)</f>
        <v>936.1585</v>
      </c>
      <c r="M106" s="1087">
        <f>AVERAGE(M105,L105,J105,I105)</f>
        <v>1208.4847500000001</v>
      </c>
      <c r="N106" s="1087">
        <f>AVERAGE(N105,M105,L105,J105)</f>
        <v>1376.0642500000001</v>
      </c>
      <c r="O106" s="1087">
        <f>AVERAGE(O105,N105,M105,L105)</f>
        <v>1734.0657500000002</v>
      </c>
      <c r="P106" s="1086">
        <f>AVERAGE(P105,K105)</f>
        <v>1391.163</v>
      </c>
      <c r="Q106" s="1087">
        <f>AVERAGE(Q105,O105,N105,M105)</f>
        <v>1928.7935000000002</v>
      </c>
      <c r="R106" s="1087">
        <f>AVERAGE(R105,Q105,O105,N105)</f>
        <v>2130.9279999999999</v>
      </c>
      <c r="S106" s="1087">
        <f>AVERAGE(S105,R105,Q105,O105)</f>
        <v>2309.4264999999996</v>
      </c>
      <c r="T106" s="1087">
        <f>AVERAGE(T105,S105,R105,Q105)</f>
        <v>2486.7035000000001</v>
      </c>
      <c r="U106" s="1086">
        <f>AVERAGE(U105,P105)</f>
        <v>2461.7200000000003</v>
      </c>
      <c r="V106" s="1087">
        <f>AVERAGE(V105,T105,S105,R105)</f>
        <v>2735.5330000000004</v>
      </c>
      <c r="W106" s="1087">
        <f>AVERAGE(W105,V105,T105,S105)</f>
        <v>3081.0370000000003</v>
      </c>
      <c r="X106" s="1087">
        <f>AVERAGE(X105,W105,V105,T105)</f>
        <v>3463.19175</v>
      </c>
      <c r="Y106" s="1087">
        <f>AVERAGE(Y105,X105,W105,V105)</f>
        <v>4215.8744999999999</v>
      </c>
      <c r="Z106" s="1086">
        <f>AVERAGE(Z105,U105)</f>
        <v>4321.6394999999993</v>
      </c>
      <c r="AA106" s="1087">
        <f>AVERAGE(AA105,Y105,X105,W105)</f>
        <v>4980.3094999999994</v>
      </c>
      <c r="AB106" s="1087">
        <f>AVERAGE(AB105,AA105,Y105,X105)</f>
        <v>5675.2972499999996</v>
      </c>
      <c r="AC106" s="1087">
        <f>AVERAGE(AC105,AB105,AA105,Y105)</f>
        <v>6271.9347500000003</v>
      </c>
      <c r="AD106" s="1087">
        <f>AVERAGE(AD105,AC105,AB105,AA105)</f>
        <v>6733.8510000000006</v>
      </c>
      <c r="AE106" s="1086">
        <f>AVERAGE(AE105,Z105)</f>
        <v>6750.8374999999996</v>
      </c>
      <c r="AF106" s="1087">
        <f>AVERAGE(AF105,AD105,AC105,AB105)</f>
        <v>7335.0810000000001</v>
      </c>
      <c r="AG106" s="1087">
        <f>AVERAGE(AG105,AF105,AD105,AC105)</f>
        <v>7983.8327499999996</v>
      </c>
      <c r="AH106" s="1087">
        <f>AVERAGE(AH105,AG105,AF105,AD105)</f>
        <v>8810.4287500000009</v>
      </c>
      <c r="AI106" s="1087">
        <f>AVERAGE(AI105,AH105,AG105,AF105)</f>
        <v>9389.7952499999992</v>
      </c>
      <c r="AJ106" s="1086">
        <f>AVERAGE(AJ105,AE105)</f>
        <v>8833.4030000000002</v>
      </c>
      <c r="AK106" s="1087">
        <f>AVERAGE(AK105,AI105,AH105,AG105)</f>
        <v>9537.9055000000008</v>
      </c>
      <c r="AL106" s="1087">
        <f>AVERAGE(AL105,AK105,AI105,AH105)</f>
        <v>9649.7582500000008</v>
      </c>
      <c r="AM106" s="1087">
        <f>AVERAGE(AM105,AL105,AK105,AI105)</f>
        <v>9742.4272500000006</v>
      </c>
      <c r="AN106" s="1087">
        <f>AVERAGE(AN105,AM105,AL105,AK105)</f>
        <v>9911.143250000001</v>
      </c>
      <c r="AO106" s="1086">
        <f>AVERAGE(AO105,AJ105)</f>
        <v>10329.567999999999</v>
      </c>
      <c r="AP106" s="1087">
        <f>AVERAGE(AP105,AN105,AM105,AL105)</f>
        <v>10596.94325</v>
      </c>
      <c r="AQ106" s="1087">
        <f>AVERAGE(AQ105,AP105,AN105,AM105)</f>
        <v>11267.25</v>
      </c>
      <c r="AR106" s="1087">
        <f>AVERAGE(AR105,AQ105,AP105,AN105)</f>
        <v>12056.25</v>
      </c>
      <c r="AS106" s="1087">
        <f>AVERAGE(AS105,AR105,AQ105,AP105)</f>
        <v>12951.5</v>
      </c>
      <c r="AT106" s="1086">
        <f>AVERAGE(AT105,AO105)</f>
        <v>12457.5</v>
      </c>
      <c r="AU106" s="1087">
        <f>AVERAGE(AU105,AS105,AR105,AQ105)</f>
        <v>13674.25</v>
      </c>
      <c r="AV106" s="1087">
        <f>AVERAGE(AV105,AU105,AS105,AR105)</f>
        <v>14699.5</v>
      </c>
      <c r="AW106" s="1088">
        <f>AVERAGE(AW105,AV105,AU105,AS105)</f>
        <v>15886.75</v>
      </c>
      <c r="AX106" s="1087">
        <f>AVERAGE(AX105,AW105,AV105,AU105)</f>
        <v>17844.637912227765</v>
      </c>
      <c r="AY106" s="1086">
        <f>AVERAGE(AY105,AT105)</f>
        <v>18163.77582445553</v>
      </c>
      <c r="AZ106" s="1087">
        <f ca="1">AVERAGE(AZ105,AX105,AW105,AV105)</f>
        <v>20369.254921635227</v>
      </c>
      <c r="BA106" s="1087">
        <f ca="1">AVERAGE(BA105,AZ105,AX105,AW105)</f>
        <v>23555.363723206403</v>
      </c>
      <c r="BB106" s="1087">
        <f ca="1">AVERAGE(BB105,BA105,AZ105,AX105)</f>
        <v>27641.1577440623</v>
      </c>
      <c r="BC106" s="1087">
        <f ca="1">AVERAGE(BC105,BB105,BA105,AZ105)</f>
        <v>33203.989836122928</v>
      </c>
      <c r="BD106" s="1086">
        <f ca="1">AVERAGE(BD105,AY105)</f>
        <v>33205.215833032322</v>
      </c>
      <c r="BE106" s="1086">
        <f ca="1">AVERAGE(BE105,BD105)</f>
        <v>49293.644616573678</v>
      </c>
      <c r="BF106" s="1086">
        <f ca="1">AVERAGE(BF105,BE105)</f>
        <v>60177.943986091435</v>
      </c>
      <c r="BG106" s="1086">
        <f ca="1">AVERAGE(BG105,BF105)</f>
        <v>73376.463905162978</v>
      </c>
      <c r="BH106" s="1030"/>
    </row>
    <row r="107" spans="1:60" s="73" customFormat="1" hidden="1" outlineLevel="1" x14ac:dyDescent="0.25">
      <c r="A107" s="327" t="s">
        <v>418</v>
      </c>
      <c r="B107" s="328"/>
      <c r="C107" s="1086">
        <f t="shared" ref="C107:AH107" si="181">INDEX(SP_BSR_TA_Avg,0,COLUMN())-INDEX(SP_BSR_CL_Avg,0,COLUMN())</f>
        <v>72.935000000000002</v>
      </c>
      <c r="D107" s="1086">
        <f t="shared" si="181"/>
        <v>186.726</v>
      </c>
      <c r="E107" s="1086">
        <f t="shared" si="181"/>
        <v>411.31299999999987</v>
      </c>
      <c r="F107" s="1086">
        <f t="shared" si="181"/>
        <v>548.5954999999999</v>
      </c>
      <c r="G107" s="1087">
        <f t="shared" si="181"/>
        <v>0</v>
      </c>
      <c r="H107" s="1087">
        <f t="shared" si="181"/>
        <v>0</v>
      </c>
      <c r="I107" s="1087">
        <f t="shared" si="181"/>
        <v>0</v>
      </c>
      <c r="J107" s="1087">
        <f t="shared" si="181"/>
        <v>1186.9934999999998</v>
      </c>
      <c r="K107" s="1086">
        <f t="shared" si="181"/>
        <v>1158.4259999999999</v>
      </c>
      <c r="L107" s="1087">
        <f t="shared" si="181"/>
        <v>1806.6897499999995</v>
      </c>
      <c r="M107" s="1087">
        <f t="shared" si="181"/>
        <v>2326.0182499999996</v>
      </c>
      <c r="N107" s="1087">
        <f t="shared" si="181"/>
        <v>2976.2697499999995</v>
      </c>
      <c r="O107" s="1087">
        <f t="shared" si="181"/>
        <v>3471.7024999999999</v>
      </c>
      <c r="P107" s="1086">
        <f t="shared" si="181"/>
        <v>2732.6354999999999</v>
      </c>
      <c r="Q107" s="1087">
        <f t="shared" si="181"/>
        <v>3681.8797499999996</v>
      </c>
      <c r="R107" s="1087">
        <f t="shared" si="181"/>
        <v>3833.1757499999994</v>
      </c>
      <c r="S107" s="1087">
        <f t="shared" si="181"/>
        <v>4182.1682500000006</v>
      </c>
      <c r="T107" s="1087">
        <f t="shared" si="181"/>
        <v>4570.3395</v>
      </c>
      <c r="U107" s="1086">
        <f t="shared" si="181"/>
        <v>4499.843499999999</v>
      </c>
      <c r="V107" s="1087">
        <f t="shared" si="181"/>
        <v>5089.427999999999</v>
      </c>
      <c r="W107" s="1087">
        <f t="shared" si="181"/>
        <v>6094.115749999999</v>
      </c>
      <c r="X107" s="1087">
        <f t="shared" si="181"/>
        <v>6973.1859999999997</v>
      </c>
      <c r="Y107" s="1087">
        <f t="shared" si="181"/>
        <v>9863.4072499999984</v>
      </c>
      <c r="Z107" s="1086">
        <f t="shared" si="181"/>
        <v>11056.628500000001</v>
      </c>
      <c r="AA107" s="1087">
        <f t="shared" si="181"/>
        <v>13064.47825</v>
      </c>
      <c r="AB107" s="1087">
        <f t="shared" si="181"/>
        <v>15913.178749999999</v>
      </c>
      <c r="AC107" s="1087">
        <f t="shared" si="181"/>
        <v>19195.210499999997</v>
      </c>
      <c r="AD107" s="1087">
        <f t="shared" si="181"/>
        <v>20231.11825</v>
      </c>
      <c r="AE107" s="1086">
        <f t="shared" si="181"/>
        <v>18908.886500000001</v>
      </c>
      <c r="AF107" s="1087">
        <f t="shared" si="181"/>
        <v>20184.313999999998</v>
      </c>
      <c r="AG107" s="1087">
        <f t="shared" si="181"/>
        <v>20002.135999999999</v>
      </c>
      <c r="AH107" s="1087">
        <f t="shared" si="181"/>
        <v>19464.44975</v>
      </c>
      <c r="AI107" s="1087">
        <f t="shared" ref="AI107:AY107" si="182">INDEX(SP_BSR_TA_Avg,0,COLUMN())-INDEX(SP_BSR_CL_Avg,0,COLUMN())</f>
        <v>19156.143749999999</v>
      </c>
      <c r="AJ107" s="1086">
        <f t="shared" si="182"/>
        <v>20364.089999999997</v>
      </c>
      <c r="AK107" s="1087">
        <f t="shared" si="182"/>
        <v>19418.307249999998</v>
      </c>
      <c r="AL107" s="1087">
        <f t="shared" si="182"/>
        <v>20297.103749999995</v>
      </c>
      <c r="AM107" s="1087">
        <f t="shared" si="182"/>
        <v>21087.506499999996</v>
      </c>
      <c r="AN107" s="1087">
        <f t="shared" si="182"/>
        <v>22061.136999999995</v>
      </c>
      <c r="AO107" s="1086">
        <f t="shared" si="182"/>
        <v>21694.738999999998</v>
      </c>
      <c r="AP107" s="1087">
        <f t="shared" si="182"/>
        <v>23459.706000000002</v>
      </c>
      <c r="AQ107" s="1087">
        <f t="shared" si="182"/>
        <v>24355</v>
      </c>
      <c r="AR107" s="1087">
        <f>INDEX(SP_BSR_TA_Avg,0,COLUMN())-INDEX(SP_BSR_CL_Avg,0,COLUMN())</f>
        <v>26790</v>
      </c>
      <c r="AS107" s="1087">
        <f>INDEX(SP_BSR_TA_Avg,0,COLUMN())-INDEX(SP_BSR_CL_Avg,0,COLUMN())</f>
        <v>30354.5</v>
      </c>
      <c r="AT107" s="1086">
        <f>INDEX(SP_BSR_TA_Avg,0,COLUMN())-INDEX(SP_BSR_CL_Avg,0,COLUMN())</f>
        <v>30771</v>
      </c>
      <c r="AU107" s="1087">
        <f t="shared" si="182"/>
        <v>33562.25</v>
      </c>
      <c r="AV107" s="1087">
        <f>INDEX(SP_BSR_TA_Avg,0,COLUMN())-INDEX(SP_BSR_CL_Avg,0,COLUMN())</f>
        <v>36789.75</v>
      </c>
      <c r="AW107" s="1088">
        <f>INDEX(SP_BSR_TA_Avg,0,COLUMN())-INDEX(SP_BSR_CL_Avg,0,COLUMN())</f>
        <v>38638.25</v>
      </c>
      <c r="AX107" s="1087">
        <f t="shared" ca="1" si="182"/>
        <v>39606.835900851838</v>
      </c>
      <c r="AY107" s="1086">
        <f t="shared" ca="1" si="182"/>
        <v>39837.171801703684</v>
      </c>
      <c r="AZ107" s="1087">
        <f t="shared" ref="AZ107:BG107" ca="1" si="183">INDEX(SP_BSR_TA_Avg,0,COLUMN())-INDEX(SP_BSR_CL_Avg,0,COLUMN())</f>
        <v>41191.938708095935</v>
      </c>
      <c r="BA107" s="1087">
        <f t="shared" ca="1" si="183"/>
        <v>43362.769540060443</v>
      </c>
      <c r="BB107" s="1087">
        <f t="shared" ca="1" si="183"/>
        <v>46260.710415471658</v>
      </c>
      <c r="BC107" s="1087">
        <f t="shared" ca="1" si="183"/>
        <v>49620.642746842379</v>
      </c>
      <c r="BD107" s="1086">
        <f t="shared" ca="1" si="183"/>
        <v>48494.208266148788</v>
      </c>
      <c r="BE107" s="1086">
        <f t="shared" ca="1" si="183"/>
        <v>63497.745344568066</v>
      </c>
      <c r="BF107" s="1086">
        <f t="shared" ca="1" si="183"/>
        <v>81925.252665647626</v>
      </c>
      <c r="BG107" s="1086">
        <f t="shared" ca="1" si="183"/>
        <v>104432.56634202537</v>
      </c>
      <c r="BH107" s="1030"/>
    </row>
    <row r="108" spans="1:60" s="78" customFormat="1" collapsed="1" x14ac:dyDescent="0.25">
      <c r="A108" s="342" t="s">
        <v>419</v>
      </c>
      <c r="B108" s="343"/>
      <c r="C108" s="142">
        <f>IF(C107&lt;0,"NMF",IF(ABS(C104/C107)&gt;1,"NMF",C104/C107))</f>
        <v>-0.7115513813669706</v>
      </c>
      <c r="D108" s="142">
        <f>IF(D107&lt;0,"NMF",IF(ABS(D104/D107)&gt;1,"NMF",D104/D107))</f>
        <v>-0.78638218566241447</v>
      </c>
      <c r="E108" s="142">
        <f>IF(E107&lt;0,"NMF",IF(ABS(E104/E107)&gt;1,"NMF",E104/E107))</f>
        <v>-0.61142730718455296</v>
      </c>
      <c r="F108" s="142">
        <f>IF(F107&lt;0,"NMF",IF(ABS(F104/F107)&gt;1,"NMF",F104/F107))</f>
        <v>-0.71871351478457279</v>
      </c>
      <c r="G108" s="143"/>
      <c r="H108" s="143"/>
      <c r="I108" s="143"/>
      <c r="J108" s="143">
        <f t="shared" ref="J108:AY108" si="184">IF(J107&lt;0,"NMF",IF(ABS(J104/J107)&gt;1,"NMF",J104/J107))</f>
        <v>-5.1628757865986558E-2</v>
      </c>
      <c r="K108" s="142">
        <f t="shared" si="184"/>
        <v>-5.2901954893968116E-2</v>
      </c>
      <c r="L108" s="143">
        <f t="shared" si="184"/>
        <v>-5.5164977827543434E-2</v>
      </c>
      <c r="M108" s="143">
        <f t="shared" si="184"/>
        <v>-5.0140191290416608E-2</v>
      </c>
      <c r="N108" s="143">
        <f t="shared" si="184"/>
        <v>-4.2066751510006814E-2</v>
      </c>
      <c r="O108" s="143">
        <f t="shared" si="184"/>
        <v>-5.3773904878082215E-2</v>
      </c>
      <c r="P108" s="142">
        <f t="shared" si="184"/>
        <v>-6.8318295652676553E-2</v>
      </c>
      <c r="Q108" s="143">
        <f t="shared" si="184"/>
        <v>-6.6587182810628226E-2</v>
      </c>
      <c r="R108" s="143">
        <f t="shared" si="184"/>
        <v>-0.10085658086509601</v>
      </c>
      <c r="S108" s="143">
        <f t="shared" si="184"/>
        <v>-0.12699967295672523</v>
      </c>
      <c r="T108" s="143">
        <f t="shared" si="184"/>
        <v>-0.15679994888782331</v>
      </c>
      <c r="U108" s="142">
        <f t="shared" si="184"/>
        <v>-0.15925642747353325</v>
      </c>
      <c r="V108" s="143">
        <f t="shared" si="184"/>
        <v>-0.16945067304223582</v>
      </c>
      <c r="W108" s="143">
        <f t="shared" si="184"/>
        <v>-0.15264872512472383</v>
      </c>
      <c r="X108" s="143">
        <f t="shared" si="184"/>
        <v>-9.4788092559125792E-2</v>
      </c>
      <c r="Y108" s="143">
        <f t="shared" si="184"/>
        <v>-6.7658161433007902E-2</v>
      </c>
      <c r="Z108" s="142">
        <f t="shared" si="184"/>
        <v>-6.0356554441528043E-2</v>
      </c>
      <c r="AA108" s="143">
        <f t="shared" si="184"/>
        <v>-5.1794261282497096E-2</v>
      </c>
      <c r="AB108" s="143">
        <f t="shared" si="184"/>
        <v>-4.2703033169912745E-2</v>
      </c>
      <c r="AC108" s="143">
        <f t="shared" si="184"/>
        <v>-6.7758725542499273E-2</v>
      </c>
      <c r="AD108" s="143">
        <f t="shared" si="184"/>
        <v>-8.0672060725066483E-2</v>
      </c>
      <c r="AE108" s="142">
        <f t="shared" si="184"/>
        <v>-8.6313173438319554E-2</v>
      </c>
      <c r="AF108" s="143">
        <f t="shared" si="184"/>
        <v>-9.7675402790503602E-2</v>
      </c>
      <c r="AG108" s="143">
        <f t="shared" si="184"/>
        <v>-0.11758679173064326</v>
      </c>
      <c r="AH108" s="143">
        <f t="shared" si="184"/>
        <v>-7.1913155418123334E-2</v>
      </c>
      <c r="AI108" s="143">
        <f t="shared" si="184"/>
        <v>-2.0258409263607689E-2</v>
      </c>
      <c r="AJ108" s="142">
        <f t="shared" si="184"/>
        <v>-1.9056731727270872E-2</v>
      </c>
      <c r="AK108" s="143">
        <f t="shared" si="184"/>
        <v>-1.6115204892537715E-2</v>
      </c>
      <c r="AL108" s="143">
        <f t="shared" si="184"/>
        <v>6.9470009976176994E-3</v>
      </c>
      <c r="AM108" s="143">
        <f t="shared" si="184"/>
        <v>-6.9960855732279956E-4</v>
      </c>
      <c r="AN108" s="143">
        <f t="shared" si="184"/>
        <v>-3.1276719781034475E-3</v>
      </c>
      <c r="AO108" s="142">
        <f t="shared" si="184"/>
        <v>-3.1804945890337747E-3</v>
      </c>
      <c r="AP108" s="143">
        <f t="shared" si="184"/>
        <v>3.1365738343012435E-2</v>
      </c>
      <c r="AQ108" s="143">
        <f t="shared" si="184"/>
        <v>5.0514842948059926E-2</v>
      </c>
      <c r="AR108" s="143">
        <f>IF(AR107&lt;0,"NMF",IF(ABS(AR104/AR107)&gt;1,"NMF",AR104/AR107))</f>
        <v>6.6378835386338167E-2</v>
      </c>
      <c r="AS108" s="143">
        <f>IF(AS107&lt;0,"NMF",IF(ABS(AS104/AS107)&gt;1,"NMF",AS104/AS107))</f>
        <v>6.5690424813454343E-2</v>
      </c>
      <c r="AT108" s="142">
        <f>IF(AT107&lt;0,"NMF",IF(ABS(AT104/AT107)&gt;1,"NMF",AT104/AT107))</f>
        <v>6.4801273926749212E-2</v>
      </c>
      <c r="AU108" s="143">
        <f t="shared" ref="AU108" si="185">IF(AU107&lt;0,"NMF",IF(ABS(AU104/AU107)&gt;1,"NMF",AU104/AU107))</f>
        <v>6.8678351421612077E-2</v>
      </c>
      <c r="AV108" s="143">
        <f>IF(AV107&lt;0,"NMF",IF(ABS(AV104/AV107)&gt;1,"NMF",AV104/AV107))</f>
        <v>8.9427082271556615E-2</v>
      </c>
      <c r="AW108" s="766">
        <f>IF(AW107&lt;0,"NMF",IF(ABS(AW104/AW107)&gt;1,"NMF",AW104/AW107))</f>
        <v>0.11607668566769976</v>
      </c>
      <c r="AX108" s="143">
        <f t="shared" ca="1" si="184"/>
        <v>0.15715108247329551</v>
      </c>
      <c r="AY108" s="142">
        <f t="shared" ca="1" si="184"/>
        <v>0.15624244527556699</v>
      </c>
      <c r="AZ108" s="143">
        <f t="shared" ref="AZ108:BG108" ca="1" si="186">IF(AZ107&lt;0,"NMF",IF(ABS(AZ104/AZ107)&gt;1,"NMF",AZ104/AZ107))</f>
        <v>0.21340422341794107</v>
      </c>
      <c r="BA108" s="143">
        <f t="shared" ca="1" si="186"/>
        <v>0.2558937513249146</v>
      </c>
      <c r="BB108" s="143">
        <f t="shared" ca="1" si="186"/>
        <v>0.29917744345863068</v>
      </c>
      <c r="BC108" s="143">
        <f t="shared" ca="1" si="186"/>
        <v>0.32593923092360078</v>
      </c>
      <c r="BD108" s="142">
        <f t="shared" ca="1" si="186"/>
        <v>0.33351022138720593</v>
      </c>
      <c r="BE108" s="142">
        <f t="shared" ca="1" si="186"/>
        <v>0.31684507189080902</v>
      </c>
      <c r="BF108" s="142">
        <f t="shared" ca="1" si="186"/>
        <v>0.30277977989513638</v>
      </c>
      <c r="BG108" s="142">
        <f t="shared" ca="1" si="186"/>
        <v>0.29103954058950904</v>
      </c>
      <c r="BH108" s="383"/>
    </row>
    <row r="109" spans="1:60" x14ac:dyDescent="0.25">
      <c r="A109" s="326"/>
      <c r="B109" s="331"/>
      <c r="C109" s="1089"/>
      <c r="D109" s="1089"/>
      <c r="E109" s="1089"/>
      <c r="F109" s="1089"/>
      <c r="G109" s="1090"/>
      <c r="H109" s="1090"/>
      <c r="I109" s="1090"/>
      <c r="J109" s="1090"/>
      <c r="K109" s="1089"/>
      <c r="L109" s="1090"/>
      <c r="M109" s="1090"/>
      <c r="N109" s="1090"/>
      <c r="O109" s="1090"/>
      <c r="P109" s="1089"/>
      <c r="Q109" s="1090"/>
      <c r="R109" s="1090"/>
      <c r="S109" s="1090"/>
      <c r="T109" s="1090"/>
      <c r="U109" s="1089"/>
      <c r="V109" s="1090"/>
      <c r="W109" s="1090"/>
      <c r="X109" s="1090"/>
      <c r="Y109" s="1090"/>
      <c r="Z109" s="1089"/>
      <c r="AA109" s="1090"/>
      <c r="AB109" s="1090"/>
      <c r="AC109" s="1090"/>
      <c r="AD109" s="1090"/>
      <c r="AE109" s="1089"/>
      <c r="AF109" s="1090"/>
      <c r="AG109" s="1090"/>
      <c r="AH109" s="1090"/>
      <c r="AI109" s="1090"/>
      <c r="AJ109" s="1089"/>
      <c r="AK109" s="1090"/>
      <c r="AL109" s="1090"/>
      <c r="AM109" s="1090"/>
      <c r="AN109" s="1090"/>
      <c r="AO109" s="1089"/>
      <c r="AP109" s="1090"/>
      <c r="AQ109" s="1090"/>
      <c r="AR109" s="1090"/>
      <c r="AS109" s="1090"/>
      <c r="AT109" s="1089"/>
      <c r="AU109" s="1090"/>
      <c r="AV109" s="1090"/>
      <c r="AW109" s="1091"/>
      <c r="AX109" s="1090"/>
      <c r="AY109" s="1089"/>
      <c r="AZ109" s="1090"/>
      <c r="BA109" s="1090"/>
      <c r="BB109" s="1090"/>
      <c r="BC109" s="1090"/>
      <c r="BD109" s="1089"/>
      <c r="BE109" s="1089"/>
      <c r="BF109" s="1089"/>
      <c r="BG109" s="1089"/>
      <c r="BH109" s="1032"/>
    </row>
    <row r="110" spans="1:60" x14ac:dyDescent="0.25">
      <c r="A110" s="196" t="s">
        <v>420</v>
      </c>
      <c r="B110" s="1033"/>
      <c r="C110" s="1092"/>
      <c r="D110" s="1092"/>
      <c r="E110" s="1092"/>
      <c r="F110" s="1092"/>
      <c r="G110" s="1092"/>
      <c r="H110" s="1092"/>
      <c r="I110" s="1092"/>
      <c r="J110" s="1092"/>
      <c r="K110" s="1092"/>
      <c r="L110" s="1092"/>
      <c r="M110" s="1092"/>
      <c r="N110" s="1092"/>
      <c r="O110" s="1092"/>
      <c r="P110" s="1092"/>
      <c r="Q110" s="1092"/>
      <c r="R110" s="1092"/>
      <c r="S110" s="1092"/>
      <c r="T110" s="1092"/>
      <c r="U110" s="1092"/>
      <c r="V110" s="1092"/>
      <c r="W110" s="1092"/>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2"/>
      <c r="AW110" s="1093"/>
      <c r="AX110" s="1092"/>
      <c r="AY110" s="1092"/>
      <c r="AZ110" s="1092"/>
      <c r="BA110" s="1092"/>
      <c r="BB110" s="1092"/>
      <c r="BC110" s="1092"/>
      <c r="BD110" s="1092"/>
      <c r="BE110" s="1092"/>
      <c r="BF110" s="1092"/>
      <c r="BG110" s="1092"/>
      <c r="BH110" s="1030"/>
    </row>
    <row r="111" spans="1:60" s="77" customFormat="1" x14ac:dyDescent="0.25">
      <c r="A111" s="335" t="s">
        <v>421</v>
      </c>
      <c r="B111" s="333"/>
      <c r="C111" s="131"/>
      <c r="D111" s="131"/>
      <c r="E111" s="131">
        <f>IF(OR(INDEX(SP_GF_Rev,0,COLUMN())&lt;=0,D30&lt;=0),"NMF",IF(ABS((INDEX(SP_GF_Rev,0,COLUMN())/INDEX(SP_CS_ShareCount,0,COLUMN()))/(D30/D5)-1)&gt;10,"NMF",(INDEX(SP_GF_Rev,0,COLUMN())/INDEX(SP_CS_ShareCount,0,COLUMN()))/(D30/D5)-1))</f>
        <v>-0.11612863879368085</v>
      </c>
      <c r="F111" s="131">
        <f>IF(OR(INDEX(SP_GF_Rev,0,COLUMN())&lt;=0,E30&lt;=0),"NMF",IF(ABS((INDEX(SP_GF_Rev,0,COLUMN())/INDEX(SP_CS_ShareCount,0,COLUMN()))/(E30/E5)-1)&gt;10,"NMF",(INDEX(SP_GF_Rev,0,COLUMN())/INDEX(SP_CS_ShareCount,0,COLUMN()))/(E30/E5)-1))</f>
        <v>0.89217908680596913</v>
      </c>
      <c r="G111" s="132"/>
      <c r="H111" s="132"/>
      <c r="I111" s="132"/>
      <c r="J111" s="132"/>
      <c r="K111" s="131">
        <f t="shared" ref="K111:AY111" si="187">IF(OR(INDEX(SP_GF_Rev,0,COLUMN())&lt;=0,F30&lt;=0),"NMF",IF(ABS((INDEX(SP_GF_Rev,0,COLUMN())/INDEX(SP_CS_ShareCount,0,COLUMN()))/(F30/F5)-1)&gt;10,"NMF",(INDEX(SP_GF_Rev,0,COLUMN())/INDEX(SP_CS_ShareCount,0,COLUMN()))/(F30/F5)-1))</f>
        <v>2.9165053319315701</v>
      </c>
      <c r="L111" s="132">
        <f t="shared" si="187"/>
        <v>-2.1113328378045804E-2</v>
      </c>
      <c r="M111" s="132">
        <f t="shared" si="187"/>
        <v>0.75825118747262854</v>
      </c>
      <c r="N111" s="132">
        <f t="shared" si="187"/>
        <v>0.89706649286996321</v>
      </c>
      <c r="O111" s="132">
        <f t="shared" si="187"/>
        <v>0.70723684315245783</v>
      </c>
      <c r="P111" s="131">
        <f t="shared" si="187"/>
        <v>0.49156844663853305</v>
      </c>
      <c r="Q111" s="132">
        <f t="shared" si="187"/>
        <v>0.68626746148264006</v>
      </c>
      <c r="R111" s="132">
        <f t="shared" si="187"/>
        <v>0.38098802643076279</v>
      </c>
      <c r="S111" s="132">
        <f t="shared" si="187"/>
        <v>0.2169120388300747</v>
      </c>
      <c r="T111" s="132">
        <f t="shared" si="187"/>
        <v>0.2151424392581518</v>
      </c>
      <c r="U111" s="131">
        <f t="shared" si="187"/>
        <v>0.40336514958055036</v>
      </c>
      <c r="V111" s="132">
        <f t="shared" si="187"/>
        <v>0.15852294983609982</v>
      </c>
      <c r="W111" s="132">
        <f t="shared" si="187"/>
        <v>0.20359354138528252</v>
      </c>
      <c r="X111" s="132">
        <f t="shared" si="187"/>
        <v>1.1244206161355446</v>
      </c>
      <c r="Y111" s="132">
        <f t="shared" si="187"/>
        <v>0.59098180324289551</v>
      </c>
      <c r="Z111" s="131">
        <f t="shared" si="187"/>
        <v>0.53805217463680832</v>
      </c>
      <c r="AA111" s="132">
        <f t="shared" si="187"/>
        <v>0.92359417469045768</v>
      </c>
      <c r="AB111" s="132">
        <f t="shared" si="187"/>
        <v>0.8610558810622333</v>
      </c>
      <c r="AC111" s="132">
        <f t="shared" si="187"/>
        <v>0.15649644571112287</v>
      </c>
      <c r="AD111" s="132">
        <f t="shared" si="187"/>
        <v>0.32564527650764652</v>
      </c>
      <c r="AE111" s="131">
        <f t="shared" si="187"/>
        <v>0.46144294932408148</v>
      </c>
      <c r="AF111" s="132">
        <f t="shared" si="187"/>
        <v>0.21179978425591539</v>
      </c>
      <c r="AG111" s="132">
        <f t="shared" si="187"/>
        <v>0.3943353660180402</v>
      </c>
      <c r="AH111" s="132">
        <f t="shared" si="187"/>
        <v>1.146597740322588</v>
      </c>
      <c r="AI111" s="132">
        <f t="shared" si="187"/>
        <v>1.0659973514612124</v>
      </c>
      <c r="AJ111" s="131">
        <f t="shared" si="187"/>
        <v>0.77411032621249642</v>
      </c>
      <c r="AK111" s="132">
        <f t="shared" si="187"/>
        <v>0.30269828487480699</v>
      </c>
      <c r="AL111" s="132">
        <f t="shared" si="187"/>
        <v>0.52674742264333951</v>
      </c>
      <c r="AM111" s="132">
        <f t="shared" si="187"/>
        <v>-0.10553750827774655</v>
      </c>
      <c r="AN111" s="132">
        <f t="shared" si="187"/>
        <v>-2.1709961672776834E-2</v>
      </c>
      <c r="AO111" s="131">
        <f t="shared" si="187"/>
        <v>0.10333133848487419</v>
      </c>
      <c r="AP111" s="132">
        <f t="shared" si="187"/>
        <v>0.14560180854880644</v>
      </c>
      <c r="AQ111" s="132">
        <f t="shared" si="187"/>
        <v>-0.18875731109995886</v>
      </c>
      <c r="AR111" s="132">
        <f>IF(OR(INDEX(SP_GF_Rev,0,COLUMN())&lt;=0,AM30&lt;=0),"NMF",IF(ABS((INDEX(SP_GF_Rev,0,COLUMN())/INDEX(SP_CS_ShareCount,0,COLUMN()))/(AM30/AM5)-1)&gt;10,"NMF",(INDEX(SP_GF_Rev,0,COLUMN())/INDEX(SP_CS_ShareCount,0,COLUMN()))/(AM30/AM5)-1))</f>
        <v>0.15858353739474795</v>
      </c>
      <c r="AS111" s="132">
        <f>IF(OR(INDEX(SP_GF_Rev,0,COLUMN())&lt;=0,AN30&lt;=0),"NMF",IF(ABS((INDEX(SP_GF_Rev,0,COLUMN())/INDEX(SP_CS_ShareCount,0,COLUMN()))/(AN30/AN5)-1)&gt;10,"NMF",(INDEX(SP_GF_Rev,0,COLUMN())/INDEX(SP_CS_ShareCount,0,COLUMN()))/(AN30/AN5)-1))</f>
        <v>0.21039701934101096</v>
      </c>
      <c r="AT111" s="131">
        <f>IF(OR(INDEX(SP_GF_Rev,0,COLUMN())&lt;=0,AO30&lt;=0),"NMF",IF(ABS((INDEX(SP_GF_Rev,0,COLUMN())/INDEX(SP_CS_ShareCount,0,COLUMN()))/(AO30/AO5)-1)&gt;10,"NMF",(INDEX(SP_GF_Rev,0,COLUMN())/INDEX(SP_CS_ShareCount,0,COLUMN()))/(AO30/AO5)-1))</f>
        <v>4.8515563205524304E-2</v>
      </c>
      <c r="AU111" s="132">
        <f t="shared" si="187"/>
        <v>0.52441341659532781</v>
      </c>
      <c r="AV111" s="132">
        <f>IF(OR(INDEX(SP_GF_Rev,0,COLUMN())&lt;=0,AQ30&lt;=0),"NMF",IF(ABS((INDEX(SP_GF_Rev,0,COLUMN())/INDEX(SP_CS_ShareCount,0,COLUMN()))/(AQ30/AQ5)-1)&gt;10,"NMF",(INDEX(SP_GF_Rev,0,COLUMN())/INDEX(SP_CS_ShareCount,0,COLUMN()))/(AQ30/AQ5)-1))</f>
        <v>0.8323970386794517</v>
      </c>
      <c r="AW111" s="759">
        <f>IF(OR(INDEX(SP_GF_Rev,0,COLUMN())&lt;=0,AR30&lt;=0),"NMF",IF(ABS((INDEX(SP_GF_Rev,0,COLUMN())/INDEX(SP_CS_ShareCount,0,COLUMN()))/(AR30/AR5)-1)&gt;10,"NMF",(INDEX(SP_GF_Rev,0,COLUMN())/INDEX(SP_CS_ShareCount,0,COLUMN()))/(AR30/AR5)-1))</f>
        <v>0.54332413554625747</v>
      </c>
      <c r="AX111" s="132">
        <f t="shared" ca="1" si="187"/>
        <v>0.57428323145128757</v>
      </c>
      <c r="AY111" s="131">
        <f t="shared" ca="1" si="187"/>
        <v>0.61868841569956978</v>
      </c>
      <c r="AZ111" s="132">
        <f ca="1">IF(OR(INDEX(SP_GF_Rev,0,COLUMN())&lt;=0,AU30&lt;=0),"NMF",IF(ABS((INDEX(SP_GF_Rev,0,COLUMN())/INDEX(SP_CS_ShareCount,0,COLUMN()))/(AU30/AU5)-1)&gt;10,"NMF",(INDEX(SP_GF_Rev,0,COLUMN())/INDEX(SP_CS_ShareCount,0,COLUMN()))/(AU30/AU5)-1))</f>
        <v>1.078583988908147</v>
      </c>
      <c r="BA111" s="132">
        <f ca="1">IF(OR(INDEX(SP_GF_Rev,0,COLUMN())&lt;=0,AV30&lt;=0),"NMF",IF(ABS((INDEX(SP_GF_Rev,0,COLUMN())/INDEX(SP_CS_ShareCount,0,COLUMN()))/(AV30/AV5)-1)&gt;10,"NMF",(INDEX(SP_GF_Rev,0,COLUMN())/INDEX(SP_CS_ShareCount,0,COLUMN()))/(AV30/AV5)-1))</f>
        <v>1.102011597490145</v>
      </c>
      <c r="BB111" s="132">
        <f ca="1">IF(OR(INDEX(SP_GF_Rev,0,COLUMN())&lt;=0,AW30&lt;=0),"NMF",IF(ABS((INDEX(SP_GF_Rev,0,COLUMN())/INDEX(SP_CS_ShareCount,0,COLUMN()))/(AW30/AW5)-1)&gt;10,"NMF",(INDEX(SP_GF_Rev,0,COLUMN())/INDEX(SP_CS_ShareCount,0,COLUMN()))/(AW30/AW5)-1))</f>
        <v>1.1945829608497935</v>
      </c>
      <c r="BC111" s="132">
        <f ca="1">IF(OR(INDEX(SP_GF_Rev,0,COLUMN())&lt;=0,AX30&lt;=0),"NMF",IF(ABS((INDEX(SP_GF_Rev,0,COLUMN())/INDEX(SP_CS_ShareCount,0,COLUMN()))/(AX30/AX5)-1)&gt;10,"NMF",(INDEX(SP_GF_Rev,0,COLUMN())/INDEX(SP_CS_ShareCount,0,COLUMN()))/(AX30/AX5)-1))</f>
        <v>1.0178223959439818</v>
      </c>
      <c r="BD111" s="131">
        <f ca="1">IF(OR(INDEX(SP_GF_Rev,0,COLUMN())&lt;=0,AY30&lt;=0),"NMF",IF(ABS((INDEX(SP_GF_Rev,0,COLUMN())/INDEX(SP_CS_ShareCount,0,COLUMN()))/(AY30/AY5)-1)&gt;10,"NMF",(INDEX(SP_GF_Rev,0,COLUMN())/INDEX(SP_CS_ShareCount,0,COLUMN()))/(AY30/AY5)-1))</f>
        <v>1.0954989476212433</v>
      </c>
      <c r="BE111" s="131">
        <f ca="1">IF(OR(INDEX(SP_GF_Rev,0,COLUMN())&lt;=0,BD30&lt;=0),"NMF",IF(ABS((INDEX(SP_GF_Rev,0,COLUMN())/INDEX(SP_CS_ShareCount,0,COLUMN()))/(BD30/BD5)-1)&gt;10,"NMF",(INDEX(SP_GF_Rev,0,COLUMN())/INDEX(SP_CS_ShareCount,0,COLUMN()))/(BD30/BD5)-1))</f>
        <v>0.23291228779348683</v>
      </c>
      <c r="BF111" s="131">
        <f ca="1">IF(OR(INDEX(SP_GF_Rev,0,COLUMN())&lt;=0,BE30&lt;=0),"NMF",IF(ABS((INDEX(SP_GF_Rev,0,COLUMN())/INDEX(SP_CS_ShareCount,0,COLUMN()))/(BE30/BE5)-1)&gt;10,"NMF",(INDEX(SP_GF_Rev,0,COLUMN())/INDEX(SP_CS_ShareCount,0,COLUMN()))/(BE30/BE5)-1))</f>
        <v>0.22540877996416886</v>
      </c>
      <c r="BG111" s="131">
        <f ca="1">IF(OR(INDEX(SP_GF_Rev,0,COLUMN())&lt;=0,BF30&lt;=0),"NMF",IF(ABS((INDEX(SP_GF_Rev,0,COLUMN())/INDEX(SP_CS_ShareCount,0,COLUMN()))/(BF30/BF5)-1)&gt;10,"NMF",(INDEX(SP_GF_Rev,0,COLUMN())/INDEX(SP_CS_ShareCount,0,COLUMN()))/(BF30/BF5)-1))</f>
        <v>0.22605131905129805</v>
      </c>
      <c r="BH111" s="299"/>
    </row>
    <row r="112" spans="1:60" s="77" customFormat="1" x14ac:dyDescent="0.25">
      <c r="A112" s="335" t="s">
        <v>422</v>
      </c>
      <c r="B112" s="333"/>
      <c r="C112" s="131"/>
      <c r="D112" s="131" t="str">
        <f>IF(OR(INDEX(SP_NGF_EBITDA,0,COLUMN())&lt;=0,C47&lt;=0),"NMF",IF(ABS((INDEX(SP_NGF_EBITDA,0,COLUMN())/INDEX(SP_CS_ShareCount,0,COLUMN()))/(C47/C5)-1)&gt;10,"NMF",(INDEX(SP_NGF_EBITDA,0,COLUMN())/INDEX(SP_CS_ShareCount,0,COLUMN()))/(C47/C5)-1))</f>
        <v>NMF</v>
      </c>
      <c r="E112" s="131" t="str">
        <f>IF(OR(INDEX(SP_NGF_EBITDA,0,COLUMN())&lt;=0,D47&lt;=0),"NMF",IF(ABS((INDEX(SP_NGF_EBITDA,0,COLUMN())/INDEX(SP_CS_ShareCount,0,COLUMN()))/(D47/D5)-1)&gt;10,"NMF",(INDEX(SP_NGF_EBITDA,0,COLUMN())/INDEX(SP_CS_ShareCount,0,COLUMN()))/(D47/D5)-1))</f>
        <v>NMF</v>
      </c>
      <c r="F112" s="131" t="str">
        <f>IF(OR(INDEX(SP_NGF_EBITDA,0,COLUMN())&lt;=0,E47&lt;=0),"NMF",IF(ABS((INDEX(SP_NGF_EBITDA,0,COLUMN())/INDEX(SP_CS_ShareCount,0,COLUMN()))/(E47/E5)-1)&gt;10,"NMF",(INDEX(SP_NGF_EBITDA,0,COLUMN())/INDEX(SP_CS_ShareCount,0,COLUMN()))/(E47/E5)-1))</f>
        <v>NMF</v>
      </c>
      <c r="G112" s="132"/>
      <c r="H112" s="132"/>
      <c r="I112" s="132"/>
      <c r="J112" s="132"/>
      <c r="K112" s="131" t="str">
        <f t="shared" ref="K112:AY112" si="188">IF(OR(INDEX(SP_NGF_EBITDA,0,COLUMN())&lt;=0,F47&lt;=0),"NMF",IF(ABS((INDEX(SP_NGF_EBITDA,0,COLUMN())/INDEX(SP_CS_ShareCount,0,COLUMN()))/(F47/F5)-1)&gt;10,"NMF",(INDEX(SP_NGF_EBITDA,0,COLUMN())/INDEX(SP_CS_ShareCount,0,COLUMN()))/(F47/F5)-1))</f>
        <v>NMF</v>
      </c>
      <c r="L112" s="132">
        <f t="shared" si="188"/>
        <v>0.21951078839441074</v>
      </c>
      <c r="M112" s="132">
        <f t="shared" si="188"/>
        <v>0.92716553332744889</v>
      </c>
      <c r="N112" s="132">
        <f t="shared" si="188"/>
        <v>2.2295686070158682</v>
      </c>
      <c r="O112" s="132">
        <f t="shared" si="188"/>
        <v>-0.3478201979860418</v>
      </c>
      <c r="P112" s="131">
        <f t="shared" si="188"/>
        <v>0.35770666186522715</v>
      </c>
      <c r="Q112" s="132">
        <f t="shared" si="188"/>
        <v>-0.47247933073162107</v>
      </c>
      <c r="R112" s="132" t="str">
        <f t="shared" si="188"/>
        <v>NMF</v>
      </c>
      <c r="S112" s="132" t="str">
        <f t="shared" si="188"/>
        <v>NMF</v>
      </c>
      <c r="T112" s="132" t="str">
        <f t="shared" si="188"/>
        <v>NMF</v>
      </c>
      <c r="U112" s="131" t="str">
        <f t="shared" si="188"/>
        <v>NMF</v>
      </c>
      <c r="V112" s="132" t="str">
        <f t="shared" si="188"/>
        <v>NMF</v>
      </c>
      <c r="W112" s="132" t="str">
        <f t="shared" si="188"/>
        <v>NMF</v>
      </c>
      <c r="X112" s="132" t="str">
        <f t="shared" si="188"/>
        <v>NMF</v>
      </c>
      <c r="Y112" s="132" t="str">
        <f t="shared" si="188"/>
        <v>NMF</v>
      </c>
      <c r="Z112" s="131" t="str">
        <f t="shared" si="188"/>
        <v>NMF</v>
      </c>
      <c r="AA112" s="132" t="str">
        <f t="shared" si="188"/>
        <v>NMF</v>
      </c>
      <c r="AB112" s="132" t="str">
        <f t="shared" si="188"/>
        <v>NMF</v>
      </c>
      <c r="AC112" s="132" t="str">
        <f t="shared" si="188"/>
        <v>NMF</v>
      </c>
      <c r="AD112" s="132">
        <f t="shared" si="188"/>
        <v>-0.96381253341374173</v>
      </c>
      <c r="AE112" s="131">
        <f t="shared" si="188"/>
        <v>-0.3330506944159749</v>
      </c>
      <c r="AF112" s="132" t="str">
        <f t="shared" si="188"/>
        <v>NMF</v>
      </c>
      <c r="AG112" s="132">
        <f t="shared" si="188"/>
        <v>-0.77493436335732024</v>
      </c>
      <c r="AH112" s="132" t="str">
        <f t="shared" si="188"/>
        <v>NMF</v>
      </c>
      <c r="AI112" s="132" t="str">
        <f t="shared" si="188"/>
        <v>NMF</v>
      </c>
      <c r="AJ112" s="131">
        <f t="shared" si="188"/>
        <v>3.6714989513134126</v>
      </c>
      <c r="AK112" s="132" t="str">
        <f t="shared" si="188"/>
        <v>NMF</v>
      </c>
      <c r="AL112" s="132">
        <f t="shared" si="188"/>
        <v>8.7632003831978427</v>
      </c>
      <c r="AM112" s="132">
        <f t="shared" si="188"/>
        <v>-0.14650219866252256</v>
      </c>
      <c r="AN112" s="132">
        <f t="shared" si="188"/>
        <v>4.4429555974183632E-2</v>
      </c>
      <c r="AO112" s="131">
        <f t="shared" si="188"/>
        <v>0.27050170620769043</v>
      </c>
      <c r="AP112" s="132">
        <f t="shared" si="188"/>
        <v>4.9052980442948266</v>
      </c>
      <c r="AQ112" s="132">
        <f t="shared" si="188"/>
        <v>0.70549086203485412</v>
      </c>
      <c r="AR112" s="132">
        <f>IF(OR(INDEX(SP_NGF_EBITDA,0,COLUMN())&lt;=0,AM47&lt;=0),"NMF",IF(ABS((INDEX(SP_NGF_EBITDA,0,COLUMN())/INDEX(SP_CS_ShareCount,0,COLUMN()))/(AM47/AM5)-1)&gt;10,"NMF",(INDEX(SP_NGF_EBITDA,0,COLUMN())/INDEX(SP_CS_ShareCount,0,COLUMN()))/(AM47/AM5)-1))</f>
        <v>0.62675649837101699</v>
      </c>
      <c r="AS112" s="132">
        <f>IF(OR(INDEX(SP_NGF_EBITDA,0,COLUMN())&lt;=0,AN47&lt;=0),"NMF",IF(ABS((INDEX(SP_NGF_EBITDA,0,COLUMN())/INDEX(SP_CS_ShareCount,0,COLUMN()))/(AN47/AN5)-1)&gt;10,"NMF",(INDEX(SP_NGF_EBITDA,0,COLUMN())/INDEX(SP_CS_ShareCount,0,COLUMN()))/(AN47/AN5)-1))</f>
        <v>0.24806833808781281</v>
      </c>
      <c r="AT112" s="131">
        <f>IF(OR(INDEX(SP_NGF_EBITDA,0,COLUMN())&lt;=0,AO47&lt;=0),"NMF",IF(ABS((INDEX(SP_NGF_EBITDA,0,COLUMN())/INDEX(SP_CS_ShareCount,0,COLUMN()))/(AO47/AO5)-1)&gt;10,"NMF",(INDEX(SP_NGF_EBITDA,0,COLUMN())/INDEX(SP_CS_ShareCount,0,COLUMN()))/(AO47/AO5)-1))</f>
        <v>0.65736031417181229</v>
      </c>
      <c r="AU112" s="132">
        <f t="shared" si="188"/>
        <v>0.53412304815759892</v>
      </c>
      <c r="AV112" s="132">
        <f>IF(OR(INDEX(SP_NGF_EBITDA,0,COLUMN())&lt;=0,AQ47&lt;=0),"NMF",IF(ABS((INDEX(SP_NGF_EBITDA,0,COLUMN())/INDEX(SP_CS_ShareCount,0,COLUMN()))/(AQ47/AQ5)-1)&gt;10,"NMF",(INDEX(SP_NGF_EBITDA,0,COLUMN())/INDEX(SP_CS_ShareCount,0,COLUMN()))/(AQ47/AQ5)-1))</f>
        <v>0.83868626226795384</v>
      </c>
      <c r="AW112" s="759">
        <f>IF(OR(INDEX(SP_NGF_EBITDA,0,COLUMN())&lt;=0,AR47&lt;=0),"NMF",IF(ABS((INDEX(SP_NGF_EBITDA,0,COLUMN())/INDEX(SP_CS_ShareCount,0,COLUMN()))/(AR47/AR5)-1)&gt;10,"NMF",(INDEX(SP_NGF_EBITDA,0,COLUMN())/INDEX(SP_CS_ShareCount,0,COLUMN()))/(AR47/AR5)-1))</f>
        <v>0.64672917141953001</v>
      </c>
      <c r="AX112" s="132">
        <f t="shared" ca="1" si="188"/>
        <v>0.90768242393384546</v>
      </c>
      <c r="AY112" s="131">
        <f t="shared" ca="1" si="188"/>
        <v>0.75368068458003656</v>
      </c>
      <c r="AZ112" s="132">
        <f ca="1">IF(OR(INDEX(SP_NGF_EBITDA,0,COLUMN())&lt;=0,AU47&lt;=0),"NMF",IF(ABS((INDEX(SP_NGF_EBITDA,0,COLUMN())/INDEX(SP_CS_ShareCount,0,COLUMN()))/(AU47/AU5)-1)&gt;10,"NMF",(INDEX(SP_NGF_EBITDA,0,COLUMN())/INDEX(SP_CS_ShareCount,0,COLUMN()))/(AU47/AU5)-1))</f>
        <v>1.3863793623303851</v>
      </c>
      <c r="BA112" s="132">
        <f ca="1">IF(OR(INDEX(SP_NGF_EBITDA,0,COLUMN())&lt;=0,AV47&lt;=0),"NMF",IF(ABS((INDEX(SP_NGF_EBITDA,0,COLUMN())/INDEX(SP_CS_ShareCount,0,COLUMN()))/(AV47/AV5)-1)&gt;10,"NMF",(INDEX(SP_NGF_EBITDA,0,COLUMN())/INDEX(SP_CS_ShareCount,0,COLUMN()))/(AV47/AV5)-1))</f>
        <v>0.94505336797769024</v>
      </c>
      <c r="BB112" s="132">
        <f ca="1">IF(OR(INDEX(SP_NGF_EBITDA,0,COLUMN())&lt;=0,AW47&lt;=0),"NMF",IF(ABS((INDEX(SP_NGF_EBITDA,0,COLUMN())/INDEX(SP_CS_ShareCount,0,COLUMN()))/(AW47/AW5)-1)&gt;10,"NMF",(INDEX(SP_NGF_EBITDA,0,COLUMN())/INDEX(SP_CS_ShareCount,0,COLUMN()))/(AW47/AW5)-1))</f>
        <v>0.84479420034520536</v>
      </c>
      <c r="BC112" s="132">
        <f ca="1">IF(OR(INDEX(SP_NGF_EBITDA,0,COLUMN())&lt;=0,AX47&lt;=0),"NMF",IF(ABS((INDEX(SP_NGF_EBITDA,0,COLUMN())/INDEX(SP_CS_ShareCount,0,COLUMN()))/(AX47/AX5)-1)&gt;10,"NMF",(INDEX(SP_NGF_EBITDA,0,COLUMN())/INDEX(SP_CS_ShareCount,0,COLUMN()))/(AX47/AX5)-1))</f>
        <v>0.69508001291014621</v>
      </c>
      <c r="BD112" s="131">
        <f ca="1">IF(OR(INDEX(SP_NGF_EBITDA,0,COLUMN())&lt;=0,AY47&lt;=0),"NMF",IF(ABS((INDEX(SP_NGF_EBITDA,0,COLUMN())/INDEX(SP_CS_ShareCount,0,COLUMN()))/(AY47/AY5)-1)&gt;10,"NMF",(INDEX(SP_NGF_EBITDA,0,COLUMN())/INDEX(SP_CS_ShareCount,0,COLUMN()))/(AY47/AY5)-1))</f>
        <v>0.91047376586425188</v>
      </c>
      <c r="BE112" s="131">
        <f ca="1">IF(OR(INDEX(SP_NGF_EBITDA,0,COLUMN())&lt;=0,BD47&lt;=0),"NMF",IF(ABS((INDEX(SP_NGF_EBITDA,0,COLUMN())/INDEX(SP_CS_ShareCount,0,COLUMN()))/(BD47/BD5)-1)&gt;10,"NMF",(INDEX(SP_NGF_EBITDA,0,COLUMN())/INDEX(SP_CS_ShareCount,0,COLUMN()))/(BD47/BD5)-1))</f>
        <v>0.19854673913227616</v>
      </c>
      <c r="BF112" s="131">
        <f ca="1">IF(OR(INDEX(SP_NGF_EBITDA,0,COLUMN())&lt;=0,BE47&lt;=0),"NMF",IF(ABS((INDEX(SP_NGF_EBITDA,0,COLUMN())/INDEX(SP_CS_ShareCount,0,COLUMN()))/(BE47/BE5)-1)&gt;10,"NMF",(INDEX(SP_NGF_EBITDA,0,COLUMN())/INDEX(SP_CS_ShareCount,0,COLUMN()))/(BE47/BE5)-1))</f>
        <v>0.19948805334804276</v>
      </c>
      <c r="BG112" s="131">
        <f ca="1">IF(OR(INDEX(SP_NGF_EBITDA,0,COLUMN())&lt;=0,BF47&lt;=0),"NMF",IF(ABS((INDEX(SP_NGF_EBITDA,0,COLUMN())/INDEX(SP_CS_ShareCount,0,COLUMN()))/(BF47/BF5)-1)&gt;10,"NMF",(INDEX(SP_NGF_EBITDA,0,COLUMN())/INDEX(SP_CS_ShareCount,0,COLUMN()))/(BF47/BF5)-1))</f>
        <v>0.19445842804070734</v>
      </c>
      <c r="BH112" s="299"/>
    </row>
    <row r="113" spans="1:60" s="77" customFormat="1" x14ac:dyDescent="0.25">
      <c r="A113" s="335" t="s">
        <v>423</v>
      </c>
      <c r="B113" s="333"/>
      <c r="C113" s="131"/>
      <c r="D113" s="131" t="str">
        <f>IF(OR(INDEX(SP_NGF_NI,0,COLUMN())&lt;=0,C49&lt;=0),"NMF",IF(ABS((INDEX(SP_NGF_NI,0,COLUMN())/INDEX(SP_CS_ShareCount,0,COLUMN()))/(C49/C5)-1)&gt;10,"NMF",(INDEX(SP_NGF_NI,0,COLUMN())/INDEX(SP_CS_ShareCount,0,COLUMN()))/(C49/C5)-1))</f>
        <v>NMF</v>
      </c>
      <c r="E113" s="131" t="str">
        <f>IF(OR(INDEX(SP_NGF_NI,0,COLUMN())&lt;=0,D49&lt;=0),"NMF",IF(ABS((INDEX(SP_NGF_NI,0,COLUMN())/INDEX(SP_CS_ShareCount,0,COLUMN()))/(D49/D5)-1)&gt;10,"NMF",(INDEX(SP_NGF_NI,0,COLUMN())/INDEX(SP_CS_ShareCount,0,COLUMN()))/(D49/D5)-1))</f>
        <v>NMF</v>
      </c>
      <c r="F113" s="131" t="str">
        <f>IF(OR(INDEX(SP_NGF_NI,0,COLUMN())&lt;=0,E49&lt;=0),"NMF",IF(ABS((INDEX(SP_NGF_NI,0,COLUMN())/INDEX(SP_CS_ShareCount,0,COLUMN()))/(E49/E5)-1)&gt;10,"NMF",(INDEX(SP_NGF_NI,0,COLUMN())/INDEX(SP_CS_ShareCount,0,COLUMN()))/(E49/E5)-1))</f>
        <v>NMF</v>
      </c>
      <c r="G113" s="132"/>
      <c r="H113" s="132"/>
      <c r="I113" s="132"/>
      <c r="J113" s="132"/>
      <c r="K113" s="131" t="str">
        <f t="shared" ref="K113:AY113" si="189">IF(OR(INDEX(SP_NGF_NI,0,COLUMN())&lt;=0,F49&lt;=0),"NMF",IF(ABS((INDEX(SP_NGF_NI,0,COLUMN())/INDEX(SP_CS_ShareCount,0,COLUMN()))/(F49/F5)-1)&gt;10,"NMF",(INDEX(SP_NGF_NI,0,COLUMN())/INDEX(SP_CS_ShareCount,0,COLUMN()))/(F49/F5)-1))</f>
        <v>NMF</v>
      </c>
      <c r="L113" s="132">
        <f t="shared" si="189"/>
        <v>-2.2376299661865828E-2</v>
      </c>
      <c r="M113" s="132">
        <f t="shared" si="189"/>
        <v>-0.43180934788220682</v>
      </c>
      <c r="N113" s="132">
        <f t="shared" si="189"/>
        <v>-0.80865218479745471</v>
      </c>
      <c r="O113" s="132" t="str">
        <f t="shared" si="189"/>
        <v>NMF</v>
      </c>
      <c r="P113" s="131">
        <f t="shared" si="189"/>
        <v>-0.81774292710844976</v>
      </c>
      <c r="Q113" s="132" t="str">
        <f t="shared" si="189"/>
        <v>NMF</v>
      </c>
      <c r="R113" s="132" t="str">
        <f t="shared" si="189"/>
        <v>NMF</v>
      </c>
      <c r="S113" s="132" t="str">
        <f t="shared" si="189"/>
        <v>NMF</v>
      </c>
      <c r="T113" s="132" t="str">
        <f t="shared" si="189"/>
        <v>NMF</v>
      </c>
      <c r="U113" s="131" t="str">
        <f t="shared" si="189"/>
        <v>NMF</v>
      </c>
      <c r="V113" s="132" t="str">
        <f t="shared" si="189"/>
        <v>NMF</v>
      </c>
      <c r="W113" s="132" t="str">
        <f t="shared" si="189"/>
        <v>NMF</v>
      </c>
      <c r="X113" s="132" t="str">
        <f t="shared" si="189"/>
        <v>NMF</v>
      </c>
      <c r="Y113" s="132" t="str">
        <f t="shared" si="189"/>
        <v>NMF</v>
      </c>
      <c r="Z113" s="131" t="str">
        <f t="shared" si="189"/>
        <v>NMF</v>
      </c>
      <c r="AA113" s="132" t="str">
        <f t="shared" si="189"/>
        <v>NMF</v>
      </c>
      <c r="AB113" s="132" t="str">
        <f t="shared" si="189"/>
        <v>NMF</v>
      </c>
      <c r="AC113" s="132" t="str">
        <f t="shared" si="189"/>
        <v>NMF</v>
      </c>
      <c r="AD113" s="132" t="str">
        <f t="shared" si="189"/>
        <v>NMF</v>
      </c>
      <c r="AE113" s="131" t="str">
        <f t="shared" si="189"/>
        <v>NMF</v>
      </c>
      <c r="AF113" s="132" t="str">
        <f t="shared" si="189"/>
        <v>NMF</v>
      </c>
      <c r="AG113" s="132" t="str">
        <f t="shared" si="189"/>
        <v>NMF</v>
      </c>
      <c r="AH113" s="132" t="str">
        <f t="shared" si="189"/>
        <v>NMF</v>
      </c>
      <c r="AI113" s="132" t="str">
        <f t="shared" si="189"/>
        <v>NMF</v>
      </c>
      <c r="AJ113" s="131" t="str">
        <f t="shared" si="189"/>
        <v>NMF</v>
      </c>
      <c r="AK113" s="132" t="str">
        <f t="shared" si="189"/>
        <v>NMF</v>
      </c>
      <c r="AL113" s="132" t="str">
        <f t="shared" si="189"/>
        <v>NMF</v>
      </c>
      <c r="AM113" s="132">
        <f t="shared" si="189"/>
        <v>-0.35841940935917405</v>
      </c>
      <c r="AN113" s="132">
        <f t="shared" si="189"/>
        <v>7.1956627069817758E-2</v>
      </c>
      <c r="AO113" s="131" t="str">
        <f t="shared" si="189"/>
        <v>NMF</v>
      </c>
      <c r="AP113" s="132" t="str">
        <f t="shared" si="189"/>
        <v>NMF</v>
      </c>
      <c r="AQ113" s="132" t="str">
        <f t="shared" si="189"/>
        <v>NMF</v>
      </c>
      <c r="AR113" s="132">
        <f>IF(OR(INDEX(SP_NGF_NI,0,COLUMN())&lt;=0,AM49&lt;=0),"NMF",IF(ABS((INDEX(SP_NGF_NI,0,COLUMN())/INDEX(SP_CS_ShareCount,0,COLUMN()))/(AM49/AM5)-1)&gt;10,"NMF",(INDEX(SP_NGF_NI,0,COLUMN())/INDEX(SP_CS_ShareCount,0,COLUMN()))/(AM49/AM5)-1))</f>
        <v>1.0522346590458045</v>
      </c>
      <c r="AS113" s="132">
        <f>IF(OR(INDEX(SP_NGF_NI,0,COLUMN())&lt;=0,AN49&lt;=0),"NMF",IF(ABS((INDEX(SP_NGF_NI,0,COLUMN())/INDEX(SP_CS_ShareCount,0,COLUMN()))/(AN49/AN5)-1)&gt;10,"NMF",(INDEX(SP_NGF_NI,0,COLUMN())/INDEX(SP_CS_ShareCount,0,COLUMN()))/(AN49/AN5)-1))</f>
        <v>0.94566523608078001</v>
      </c>
      <c r="AT113" s="131" t="str">
        <f>IF(OR(INDEX(SP_NGF_NI,0,COLUMN())&lt;=0,AO49&lt;=0),"NMF",IF(ABS((INDEX(SP_NGF_NI,0,COLUMN())/INDEX(SP_CS_ShareCount,0,COLUMN()))/(AO49/AO5)-1)&gt;10,"NMF",(INDEX(SP_NGF_NI,0,COLUMN())/INDEX(SP_CS_ShareCount,0,COLUMN()))/(AO49/AO5)-1))</f>
        <v>NMF</v>
      </c>
      <c r="AU113" s="132">
        <f t="shared" si="189"/>
        <v>3.0892371817054247</v>
      </c>
      <c r="AV113" s="132">
        <f>IF(OR(INDEX(SP_NGF_NI,0,COLUMN())&lt;=0,AQ49&lt;=0),"NMF",IF(ABS((INDEX(SP_NGF_NI,0,COLUMN())/INDEX(SP_CS_ShareCount,0,COLUMN()))/(AQ49/AQ5)-1)&gt;10,"NMF",(INDEX(SP_NGF_NI,0,COLUMN())/INDEX(SP_CS_ShareCount,0,COLUMN()))/(AQ49/AQ5)-1))</f>
        <v>2.3182739577822296</v>
      </c>
      <c r="AW113" s="759">
        <f>IF(OR(INDEX(SP_NGF_NI,0,COLUMN())&lt;=0,AR49&lt;=0),"NMF",IF(ABS((INDEX(SP_NGF_NI,0,COLUMN())/INDEX(SP_CS_ShareCount,0,COLUMN()))/(AR49/AR5)-1)&gt;10,"NMF",(INDEX(SP_NGF_NI,0,COLUMN())/INDEX(SP_CS_ShareCount,0,COLUMN()))/(AR49/AR5)-1))</f>
        <v>1.4441712114538143</v>
      </c>
      <c r="AX113" s="132">
        <f t="shared" ca="1" si="189"/>
        <v>1.3457676057841024</v>
      </c>
      <c r="AY113" s="131">
        <f t="shared" ca="1" si="189"/>
        <v>1.7356592378021243</v>
      </c>
      <c r="AZ113" s="132">
        <f ca="1">IF(OR(INDEX(SP_NGF_NI,0,COLUMN())&lt;=0,AU49&lt;=0),"NMF",IF(ABS((INDEX(SP_NGF_NI,0,COLUMN())/INDEX(SP_CS_ShareCount,0,COLUMN()))/(AU49/AU5)-1)&gt;10,"NMF",(INDEX(SP_NGF_NI,0,COLUMN())/INDEX(SP_CS_ShareCount,0,COLUMN()))/(AU49/AU5)-1))</f>
        <v>1.611571939745875</v>
      </c>
      <c r="BA113" s="132">
        <f ca="1">IF(OR(INDEX(SP_NGF_NI,0,COLUMN())&lt;=0,AV49&lt;=0),"NMF",IF(ABS((INDEX(SP_NGF_NI,0,COLUMN())/INDEX(SP_CS_ShareCount,0,COLUMN()))/(AV49/AV5)-1)&gt;10,"NMF",(INDEX(SP_NGF_NI,0,COLUMN())/INDEX(SP_CS_ShareCount,0,COLUMN()))/(AV49/AV5)-1))</f>
        <v>0.90783540393668027</v>
      </c>
      <c r="BB113" s="132">
        <f ca="1">IF(OR(INDEX(SP_NGF_NI,0,COLUMN())&lt;=0,AW49&lt;=0),"NMF",IF(ABS((INDEX(SP_NGF_NI,0,COLUMN())/INDEX(SP_CS_ShareCount,0,COLUMN()))/(AW49/AW5)-1)&gt;10,"NMF",(INDEX(SP_NGF_NI,0,COLUMN())/INDEX(SP_CS_ShareCount,0,COLUMN()))/(AW49/AW5)-1))</f>
        <v>0.83449865032798254</v>
      </c>
      <c r="BC113" s="132">
        <f ca="1">IF(OR(INDEX(SP_NGF_NI,0,COLUMN())&lt;=0,AX49&lt;=0),"NMF",IF(ABS((INDEX(SP_NGF_NI,0,COLUMN())/INDEX(SP_CS_ShareCount,0,COLUMN()))/(AX49/AX5)-1)&gt;10,"NMF",(INDEX(SP_NGF_NI,0,COLUMN())/INDEX(SP_CS_ShareCount,0,COLUMN()))/(AX49/AX5)-1))</f>
        <v>0.77868538038187363</v>
      </c>
      <c r="BD113" s="131">
        <f ca="1">IF(OR(INDEX(SP_NGF_NI,0,COLUMN())&lt;=0,AY49&lt;=0),"NMF",IF(ABS((INDEX(SP_NGF_NI,0,COLUMN())/INDEX(SP_CS_ShareCount,0,COLUMN()))/(AY49/AY5)-1)&gt;10,"NMF",(INDEX(SP_NGF_NI,0,COLUMN())/INDEX(SP_CS_ShareCount,0,COLUMN()))/(AY49/AY5)-1))</f>
        <v>0.95454020214701107</v>
      </c>
      <c r="BE113" s="131">
        <f ca="1">IF(OR(INDEX(SP_NGF_NI,0,COLUMN())&lt;=0,BD49&lt;=0),"NMF",IF(ABS((INDEX(SP_NGF_NI,0,COLUMN())/INDEX(SP_CS_ShareCount,0,COLUMN()))/(BD49/BD5)-1)&gt;10,"NMF",(INDEX(SP_NGF_NI,0,COLUMN())/INDEX(SP_CS_ShareCount,0,COLUMN()))/(BD49/BD5)-1))</f>
        <v>0.21039229566263695</v>
      </c>
      <c r="BF113" s="131">
        <f ca="1">IF(OR(INDEX(SP_NGF_NI,0,COLUMN())&lt;=0,BE49&lt;=0),"NMF",IF(ABS((INDEX(SP_NGF_NI,0,COLUMN())/INDEX(SP_CS_ShareCount,0,COLUMN()))/(BE49/BE5)-1)&gt;10,"NMF",(INDEX(SP_NGF_NI,0,COLUMN())/INDEX(SP_CS_ShareCount,0,COLUMN()))/(BE49/BE5)-1))</f>
        <v>0.1795206906672786</v>
      </c>
      <c r="BG113" s="131">
        <f ca="1">IF(OR(INDEX(SP_NGF_NI,0,COLUMN())&lt;=0,BF49&lt;=0),"NMF",IF(ABS((INDEX(SP_NGF_NI,0,COLUMN())/INDEX(SP_CS_ShareCount,0,COLUMN()))/(BF49/BF5)-1)&gt;10,"NMF",(INDEX(SP_NGF_NI,0,COLUMN())/INDEX(SP_CS_ShareCount,0,COLUMN()))/(BF49/BF5)-1))</f>
        <v>0.23136148239580123</v>
      </c>
      <c r="BH113" s="299"/>
    </row>
    <row r="114" spans="1:60" s="77" customFormat="1" x14ac:dyDescent="0.25">
      <c r="A114" s="335" t="s">
        <v>424</v>
      </c>
      <c r="B114" s="333"/>
      <c r="C114" s="131"/>
      <c r="D114" s="131" t="str">
        <f>IF(OR(INDEX(SP_CFA_CFO_BeforeWC,0,COLUMN())&lt;=0,C62&lt;=0),"NMF",IF(ABS((INDEX(SP_CFA_CFO_BeforeWC,0,COLUMN())/INDEX(SP_CS_ShareCount,0,COLUMN()))/(C62/C5)-1)&gt;10,"NMF",(INDEX(SP_CFA_CFO_BeforeWC,0,COLUMN())/INDEX(SP_CS_ShareCount,0,COLUMN()))/(C62/C5)-1))</f>
        <v>NMF</v>
      </c>
      <c r="E114" s="131" t="str">
        <f>IF(OR(INDEX(SP_CFA_CFO_BeforeWC,0,COLUMN())&lt;=0,D62&lt;=0),"NMF",IF(ABS((INDEX(SP_CFA_CFO_BeforeWC,0,COLUMN())/INDEX(SP_CS_ShareCount,0,COLUMN()))/(D62/D5)-1)&gt;10,"NMF",(INDEX(SP_CFA_CFO_BeforeWC,0,COLUMN())/INDEX(SP_CS_ShareCount,0,COLUMN()))/(D62/D5)-1))</f>
        <v>NMF</v>
      </c>
      <c r="F114" s="131" t="str">
        <f>IF(OR(INDEX(SP_CFA_CFO_BeforeWC,0,COLUMN())&lt;=0,E62&lt;=0),"NMF",IF(ABS((INDEX(SP_CFA_CFO_BeforeWC,0,COLUMN())/INDEX(SP_CS_ShareCount,0,COLUMN()))/(E62/E5)-1)&gt;10,"NMF",(INDEX(SP_CFA_CFO_BeforeWC,0,COLUMN())/INDEX(SP_CS_ShareCount,0,COLUMN()))/(E62/E5)-1))</f>
        <v>NMF</v>
      </c>
      <c r="G114" s="132"/>
      <c r="H114" s="132"/>
      <c r="I114" s="132"/>
      <c r="J114" s="132"/>
      <c r="K114" s="131" t="str">
        <f t="shared" ref="K114:AY114" si="190">IF(OR(INDEX(SP_CFA_CFO_BeforeWC,0,COLUMN())&lt;=0,F62&lt;=0),"NMF",IF(ABS((INDEX(SP_CFA_CFO_BeforeWC,0,COLUMN())/INDEX(SP_CS_ShareCount,0,COLUMN()))/(F62/F5)-1)&gt;10,"NMF",(INDEX(SP_CFA_CFO_BeforeWC,0,COLUMN())/INDEX(SP_CS_ShareCount,0,COLUMN()))/(F62/F5)-1))</f>
        <v>NMF</v>
      </c>
      <c r="L114" s="132">
        <f t="shared" si="190"/>
        <v>6.3296227211521616E-2</v>
      </c>
      <c r="M114" s="132">
        <f t="shared" si="190"/>
        <v>1.1708455298583051</v>
      </c>
      <c r="N114" s="132">
        <f t="shared" si="190"/>
        <v>2.7729858161749865</v>
      </c>
      <c r="O114" s="132">
        <f t="shared" si="190"/>
        <v>-0.18937351289734483</v>
      </c>
      <c r="P114" s="131">
        <f t="shared" si="190"/>
        <v>0.61697345338162779</v>
      </c>
      <c r="Q114" s="132">
        <f t="shared" si="190"/>
        <v>-0.38331522796798789</v>
      </c>
      <c r="R114" s="132" t="str">
        <f t="shared" si="190"/>
        <v>NMF</v>
      </c>
      <c r="S114" s="132" t="str">
        <f t="shared" si="190"/>
        <v>NMF</v>
      </c>
      <c r="T114" s="132" t="str">
        <f t="shared" si="190"/>
        <v>NMF</v>
      </c>
      <c r="U114" s="131" t="str">
        <f t="shared" si="190"/>
        <v>NMF</v>
      </c>
      <c r="V114" s="132">
        <f t="shared" si="190"/>
        <v>-0.13054476176888907</v>
      </c>
      <c r="W114" s="132" t="str">
        <f t="shared" si="190"/>
        <v>NMF</v>
      </c>
      <c r="X114" s="132" t="str">
        <f t="shared" si="190"/>
        <v>NMF</v>
      </c>
      <c r="Y114" s="132" t="str">
        <f t="shared" si="190"/>
        <v>NMF</v>
      </c>
      <c r="Z114" s="131" t="str">
        <f t="shared" si="190"/>
        <v>NMF</v>
      </c>
      <c r="AA114" s="132">
        <f t="shared" si="190"/>
        <v>6.3708683133505088</v>
      </c>
      <c r="AB114" s="132" t="str">
        <f t="shared" si="190"/>
        <v>NMF</v>
      </c>
      <c r="AC114" s="132" t="str">
        <f t="shared" si="190"/>
        <v>NMF</v>
      </c>
      <c r="AD114" s="132">
        <f t="shared" si="190"/>
        <v>-0.8796766539130032</v>
      </c>
      <c r="AE114" s="131">
        <f t="shared" si="190"/>
        <v>-0.33462979221575906</v>
      </c>
      <c r="AF114" s="132" t="str">
        <f t="shared" si="190"/>
        <v>NMF</v>
      </c>
      <c r="AG114" s="132">
        <f t="shared" si="190"/>
        <v>-0.87087333275447865</v>
      </c>
      <c r="AH114" s="132" t="str">
        <f t="shared" si="190"/>
        <v>NMF</v>
      </c>
      <c r="AI114" s="132" t="str">
        <f t="shared" si="190"/>
        <v>NMF</v>
      </c>
      <c r="AJ114" s="131">
        <f t="shared" si="190"/>
        <v>3.5483010186914923</v>
      </c>
      <c r="AK114" s="132" t="str">
        <f t="shared" si="190"/>
        <v>NMF</v>
      </c>
      <c r="AL114" s="132" t="str">
        <f t="shared" si="190"/>
        <v>NMF</v>
      </c>
      <c r="AM114" s="132">
        <f t="shared" si="190"/>
        <v>-0.11807069718492103</v>
      </c>
      <c r="AN114" s="132">
        <f t="shared" si="190"/>
        <v>0.10388357924182934</v>
      </c>
      <c r="AO114" s="131">
        <f t="shared" si="190"/>
        <v>0.30070940957477221</v>
      </c>
      <c r="AP114" s="132" t="str">
        <f t="shared" si="190"/>
        <v>NMF</v>
      </c>
      <c r="AQ114" s="132">
        <f t="shared" si="190"/>
        <v>0.79131032804146306</v>
      </c>
      <c r="AR114" s="132">
        <f>IF(OR(INDEX(SP_CFA_CFO_BeforeWC,0,COLUMN())&lt;=0,AM62&lt;=0),"NMF",IF(ABS((INDEX(SP_CFA_CFO_BeforeWC,0,COLUMN())/INDEX(SP_CS_ShareCount,0,COLUMN()))/(AM62/AM5)-1)&gt;10,"NMF",(INDEX(SP_CFA_CFO_BeforeWC,0,COLUMN())/INDEX(SP_CS_ShareCount,0,COLUMN()))/(AM62/AM5)-1))</f>
        <v>0.55166772340067505</v>
      </c>
      <c r="AS114" s="132">
        <f>IF(OR(INDEX(SP_CFA_CFO_BeforeWC,0,COLUMN())&lt;=0,AN62&lt;=0),"NMF",IF(ABS((INDEX(SP_CFA_CFO_BeforeWC,0,COLUMN())/INDEX(SP_CS_ShareCount,0,COLUMN()))/(AN62/AN5)-1)&gt;10,"NMF",(INDEX(SP_CFA_CFO_BeforeWC,0,COLUMN())/INDEX(SP_CS_ShareCount,0,COLUMN()))/(AN62/AN5)-1))</f>
        <v>0.23802210936056301</v>
      </c>
      <c r="AT114" s="131">
        <f>IF(OR(INDEX(SP_CFA_CFO_BeforeWC,0,COLUMN())&lt;=0,AO62&lt;=0),"NMF",IF(ABS((INDEX(SP_CFA_CFO_BeforeWC,0,COLUMN())/INDEX(SP_CS_ShareCount,0,COLUMN()))/(AO62/AO5)-1)&gt;10,"NMF",(INDEX(SP_CFA_CFO_BeforeWC,0,COLUMN())/INDEX(SP_CS_ShareCount,0,COLUMN()))/(AO62/AO5)-1))</f>
        <v>0.70882644634749359</v>
      </c>
      <c r="AU114" s="132">
        <f t="shared" si="190"/>
        <v>0.44157271561558065</v>
      </c>
      <c r="AV114" s="132">
        <f>IF(OR(INDEX(SP_CFA_CFO_BeforeWC,0,COLUMN())&lt;=0,AQ62&lt;=0),"NMF",IF(ABS((INDEX(SP_CFA_CFO_BeforeWC,0,COLUMN())/INDEX(SP_CS_ShareCount,0,COLUMN()))/(AQ62/AQ5)-1)&gt;10,"NMF",(INDEX(SP_CFA_CFO_BeforeWC,0,COLUMN())/INDEX(SP_CS_ShareCount,0,COLUMN()))/(AQ62/AQ5)-1))</f>
        <v>0.8712693594487404</v>
      </c>
      <c r="AW114" s="759">
        <f>IF(OR(INDEX(SP_CFA_CFO_BeforeWC,0,COLUMN())&lt;=0,AR62&lt;=0),"NMF",IF(ABS((INDEX(SP_CFA_CFO_BeforeWC,0,COLUMN())/INDEX(SP_CS_ShareCount,0,COLUMN()))/(AR62/AR5)-1)&gt;10,"NMF",(INDEX(SP_CFA_CFO_BeforeWC,0,COLUMN())/INDEX(SP_CS_ShareCount,0,COLUMN()))/(AR62/AR5)-1))</f>
        <v>0.75498147162472007</v>
      </c>
      <c r="AX114" s="132">
        <f t="shared" ca="1" si="190"/>
        <v>0.62351274570674553</v>
      </c>
      <c r="AY114" s="131">
        <f t="shared" ca="1" si="190"/>
        <v>0.69430675491710603</v>
      </c>
      <c r="AZ114" s="132">
        <f ca="1">IF(OR(INDEX(SP_CFA_CFO_BeforeWC,0,COLUMN())&lt;=0,AU62&lt;=0),"NMF",IF(ABS((INDEX(SP_CFA_CFO_BeforeWC,0,COLUMN())/INDEX(SP_CS_ShareCount,0,COLUMN()))/(AU62/AU5)-1)&gt;10,"NMF",(INDEX(SP_CFA_CFO_BeforeWC,0,COLUMN())/INDEX(SP_CS_ShareCount,0,COLUMN()))/(AU62/AU5)-1))</f>
        <v>1.167927894731696</v>
      </c>
      <c r="BA114" s="132">
        <f ca="1">IF(OR(INDEX(SP_CFA_CFO_BeforeWC,0,COLUMN())&lt;=0,AV62&lt;=0),"NMF",IF(ABS((INDEX(SP_CFA_CFO_BeforeWC,0,COLUMN())/INDEX(SP_CS_ShareCount,0,COLUMN()))/(AV62/AV5)-1)&gt;10,"NMF",(INDEX(SP_CFA_CFO_BeforeWC,0,COLUMN())/INDEX(SP_CS_ShareCount,0,COLUMN()))/(AV62/AV5)-1))</f>
        <v>0.60609839470231064</v>
      </c>
      <c r="BB114" s="132">
        <f ca="1">IF(OR(INDEX(SP_CFA_CFO_BeforeWC,0,COLUMN())&lt;=0,AW62&lt;=0),"NMF",IF(ABS((INDEX(SP_CFA_CFO_BeforeWC,0,COLUMN())/INDEX(SP_CS_ShareCount,0,COLUMN()))/(AW62/AW5)-1)&gt;10,"NMF",(INDEX(SP_CFA_CFO_BeforeWC,0,COLUMN())/INDEX(SP_CS_ShareCount,0,COLUMN()))/(AW62/AW5)-1))</f>
        <v>0.54722810472306538</v>
      </c>
      <c r="BC114" s="132">
        <f ca="1">IF(OR(INDEX(SP_CFA_CFO_BeforeWC,0,COLUMN())&lt;=0,AX62&lt;=0),"NMF",IF(ABS((INDEX(SP_CFA_CFO_BeforeWC,0,COLUMN())/INDEX(SP_CS_ShareCount,0,COLUMN()))/(AX62/AX5)-1)&gt;10,"NMF",(INDEX(SP_CFA_CFO_BeforeWC,0,COLUMN())/INDEX(SP_CS_ShareCount,0,COLUMN()))/(AX62/AX5)-1))</f>
        <v>0.67093724361705731</v>
      </c>
      <c r="BD114" s="131">
        <f ca="1">IF(OR(INDEX(SP_CFA_CFO_BeforeWC,0,COLUMN())&lt;=0,AY62&lt;=0),"NMF",IF(ABS((INDEX(SP_CFA_CFO_BeforeWC,0,COLUMN())/INDEX(SP_CS_ShareCount,0,COLUMN()))/(AY62/AY5)-1)&gt;10,"NMF",(INDEX(SP_CFA_CFO_BeforeWC,0,COLUMN())/INDEX(SP_CS_ShareCount,0,COLUMN()))/(AY62/AY5)-1))</f>
        <v>0.69844995888247463</v>
      </c>
      <c r="BE114" s="131">
        <f ca="1">IF(OR(INDEX(SP_CFA_CFO_BeforeWC,0,COLUMN())&lt;=0,BD62&lt;=0),"NMF",IF(ABS((INDEX(SP_CFA_CFO_BeforeWC,0,COLUMN())/INDEX(SP_CS_ShareCount,0,COLUMN()))/(BD62/BD5)-1)&gt;10,"NMF",(INDEX(SP_CFA_CFO_BeforeWC,0,COLUMN())/INDEX(SP_CS_ShareCount,0,COLUMN()))/(BD62/BD5)-1))</f>
        <v>0.19523727636277877</v>
      </c>
      <c r="BF114" s="131">
        <f ca="1">IF(OR(INDEX(SP_CFA_CFO_BeforeWC,0,COLUMN())&lt;=0,BE62&lt;=0),"NMF",IF(ABS((INDEX(SP_CFA_CFO_BeforeWC,0,COLUMN())/INDEX(SP_CS_ShareCount,0,COLUMN()))/(BE62/BE5)-1)&gt;10,"NMF",(INDEX(SP_CFA_CFO_BeforeWC,0,COLUMN())/INDEX(SP_CS_ShareCount,0,COLUMN()))/(BE62/BE5)-1))</f>
        <v>0.19763321508754816</v>
      </c>
      <c r="BG114" s="131">
        <f ca="1">IF(OR(INDEX(SP_CFA_CFO_BeforeWC,0,COLUMN())&lt;=0,BF62&lt;=0),"NMF",IF(ABS((INDEX(SP_CFA_CFO_BeforeWC,0,COLUMN())/INDEX(SP_CS_ShareCount,0,COLUMN()))/(BF62/BF5)-1)&gt;10,"NMF",(INDEX(SP_CFA_CFO_BeforeWC,0,COLUMN())/INDEX(SP_CS_ShareCount,0,COLUMN()))/(BF62/BF5)-1))</f>
        <v>0.19214083499854984</v>
      </c>
      <c r="BH114" s="299"/>
    </row>
    <row r="115" spans="1:60" s="77" customFormat="1" x14ac:dyDescent="0.25">
      <c r="A115" s="335" t="s">
        <v>425</v>
      </c>
      <c r="B115" s="333"/>
      <c r="C115" s="131"/>
      <c r="D115" s="131" t="str">
        <f>IF(OR(INDEX(SP_CFA_FCF_PreDiv,0,COLUMN())&lt;=0,C64&lt;=0),"NMF",IF(ABS((INDEX(SP_CFA_FCF_PreDiv,0,COLUMN())/INDEX(SP_CS_ShareCount,0,COLUMN()))/(C64/C5)-1)&gt;10,"NMF",(INDEX(SP_CFA_FCF_PreDiv,0,COLUMN())/INDEX(SP_CS_ShareCount,0,COLUMN()))/(C64/C5)-1))</f>
        <v>NMF</v>
      </c>
      <c r="E115" s="131" t="str">
        <f>IF(OR(INDEX(SP_CFA_FCF_PreDiv,0,COLUMN())&lt;=0,D64&lt;=0),"NMF",IF(ABS((INDEX(SP_CFA_FCF_PreDiv,0,COLUMN())/INDEX(SP_CS_ShareCount,0,COLUMN()))/(D64/D5)-1)&gt;10,"NMF",(INDEX(SP_CFA_FCF_PreDiv,0,COLUMN())/INDEX(SP_CS_ShareCount,0,COLUMN()))/(D64/D5)-1))</f>
        <v>NMF</v>
      </c>
      <c r="F115" s="131" t="str">
        <f>IF(OR(INDEX(SP_CFA_FCF_PreDiv,0,COLUMN())&lt;=0,E64&lt;=0),"NMF",IF(ABS((INDEX(SP_CFA_FCF_PreDiv,0,COLUMN())/INDEX(SP_CS_ShareCount,0,COLUMN()))/(E64/E5)-1)&gt;10,"NMF",(INDEX(SP_CFA_FCF_PreDiv,0,COLUMN())/INDEX(SP_CS_ShareCount,0,COLUMN()))/(E64/E5)-1))</f>
        <v>NMF</v>
      </c>
      <c r="G115" s="132"/>
      <c r="H115" s="132"/>
      <c r="I115" s="132"/>
      <c r="J115" s="132"/>
      <c r="K115" s="131" t="str">
        <f t="shared" ref="K115:AY115" si="191">IF(OR(INDEX(SP_CFA_FCF_PreDiv,0,COLUMN())&lt;=0,F64&lt;=0),"NMF",IF(ABS((INDEX(SP_CFA_FCF_PreDiv,0,COLUMN())/INDEX(SP_CS_ShareCount,0,COLUMN()))/(F64/F5)-1)&gt;10,"NMF",(INDEX(SP_CFA_FCF_PreDiv,0,COLUMN())/INDEX(SP_CS_ShareCount,0,COLUMN()))/(F64/F5)-1))</f>
        <v>NMF</v>
      </c>
      <c r="L115" s="132" t="str">
        <f t="shared" si="191"/>
        <v>NMF</v>
      </c>
      <c r="M115" s="132" t="str">
        <f t="shared" si="191"/>
        <v>NMF</v>
      </c>
      <c r="N115" s="132" t="str">
        <f t="shared" si="191"/>
        <v>NMF</v>
      </c>
      <c r="O115" s="132" t="str">
        <f t="shared" si="191"/>
        <v>NMF</v>
      </c>
      <c r="P115" s="131" t="str">
        <f t="shared" si="191"/>
        <v>NMF</v>
      </c>
      <c r="Q115" s="132" t="str">
        <f t="shared" si="191"/>
        <v>NMF</v>
      </c>
      <c r="R115" s="132" t="str">
        <f t="shared" si="191"/>
        <v>NMF</v>
      </c>
      <c r="S115" s="132" t="str">
        <f t="shared" si="191"/>
        <v>NMF</v>
      </c>
      <c r="T115" s="132" t="str">
        <f t="shared" si="191"/>
        <v>NMF</v>
      </c>
      <c r="U115" s="131" t="str">
        <f t="shared" si="191"/>
        <v>NMF</v>
      </c>
      <c r="V115" s="132" t="str">
        <f t="shared" si="191"/>
        <v>NMF</v>
      </c>
      <c r="W115" s="132" t="str">
        <f t="shared" si="191"/>
        <v>NMF</v>
      </c>
      <c r="X115" s="132" t="str">
        <f t="shared" si="191"/>
        <v>NMF</v>
      </c>
      <c r="Y115" s="132" t="str">
        <f t="shared" si="191"/>
        <v>NMF</v>
      </c>
      <c r="Z115" s="131" t="str">
        <f t="shared" si="191"/>
        <v>NMF</v>
      </c>
      <c r="AA115" s="132" t="str">
        <f t="shared" si="191"/>
        <v>NMF</v>
      </c>
      <c r="AB115" s="132" t="str">
        <f t="shared" si="191"/>
        <v>NMF</v>
      </c>
      <c r="AC115" s="132" t="str">
        <f t="shared" si="191"/>
        <v>NMF</v>
      </c>
      <c r="AD115" s="132" t="str">
        <f t="shared" si="191"/>
        <v>NMF</v>
      </c>
      <c r="AE115" s="131" t="str">
        <f t="shared" si="191"/>
        <v>NMF</v>
      </c>
      <c r="AF115" s="132" t="str">
        <f t="shared" si="191"/>
        <v>NMF</v>
      </c>
      <c r="AG115" s="132" t="str">
        <f t="shared" si="191"/>
        <v>NMF</v>
      </c>
      <c r="AH115" s="132" t="str">
        <f t="shared" si="191"/>
        <v>NMF</v>
      </c>
      <c r="AI115" s="132" t="str">
        <f t="shared" si="191"/>
        <v>NMF</v>
      </c>
      <c r="AJ115" s="131" t="str">
        <f t="shared" si="191"/>
        <v>NMF</v>
      </c>
      <c r="AK115" s="132" t="str">
        <f t="shared" si="191"/>
        <v>NMF</v>
      </c>
      <c r="AL115" s="132" t="str">
        <f t="shared" si="191"/>
        <v>NMF</v>
      </c>
      <c r="AM115" s="132">
        <f t="shared" si="191"/>
        <v>8.3915493690374543E-2</v>
      </c>
      <c r="AN115" s="132">
        <f t="shared" si="191"/>
        <v>4.6389918507435679E-2</v>
      </c>
      <c r="AO115" s="131" t="str">
        <f t="shared" si="191"/>
        <v>NMF</v>
      </c>
      <c r="AP115" s="132" t="str">
        <f t="shared" si="191"/>
        <v>NMF</v>
      </c>
      <c r="AQ115" s="132">
        <f t="shared" si="191"/>
        <v>0.81232781498567985</v>
      </c>
      <c r="AR115" s="132">
        <f>IF(OR(INDEX(SP_CFA_FCF_PreDiv,0,COLUMN())&lt;=0,AM64&lt;=0),"NMF",IF(ABS((INDEX(SP_CFA_FCF_PreDiv,0,COLUMN())/INDEX(SP_CS_ShareCount,0,COLUMN()))/(AM64/AM5)-1)&gt;10,"NMF",(INDEX(SP_CFA_FCF_PreDiv,0,COLUMN())/INDEX(SP_CS_ShareCount,0,COLUMN()))/(AM64/AM5)-1))</f>
        <v>0.14481245238981222</v>
      </c>
      <c r="AS115" s="132">
        <f>IF(OR(INDEX(SP_CFA_FCF_PreDiv,0,COLUMN())&lt;=0,AN64&lt;=0),"NMF",IF(ABS((INDEX(SP_CFA_FCF_PreDiv,0,COLUMN())/INDEX(SP_CS_ShareCount,0,COLUMN()))/(AN64/AN5)-1)&gt;10,"NMF",(INDEX(SP_CFA_FCF_PreDiv,0,COLUMN())/INDEX(SP_CS_ShareCount,0,COLUMN()))/(AN64/AN5)-1))</f>
        <v>-0.32112063818099301</v>
      </c>
      <c r="AT115" s="131">
        <f>IF(OR(INDEX(SP_CFA_FCF_PreDiv,0,COLUMN())&lt;=0,AO64&lt;=0),"NMF",IF(ABS((INDEX(SP_CFA_FCF_PreDiv,0,COLUMN())/INDEX(SP_CS_ShareCount,0,COLUMN()))/(AO64/AO5)-1)&gt;10,"NMF",(INDEX(SP_CFA_FCF_PreDiv,0,COLUMN())/INDEX(SP_CS_ShareCount,0,COLUMN()))/(AO64/AO5)-1))</f>
        <v>0.5617526612358732</v>
      </c>
      <c r="AU115" s="132">
        <f t="shared" si="191"/>
        <v>-0.51081284251574777</v>
      </c>
      <c r="AV115" s="132">
        <f>IF(OR(INDEX(SP_CFA_FCF_PreDiv,0,COLUMN())&lt;=0,AQ64&lt;=0),"NMF",IF(ABS((INDEX(SP_CFA_FCF_PreDiv,0,COLUMN())/INDEX(SP_CS_ShareCount,0,COLUMN()))/(AQ64/AQ5)-1)&gt;10,"NMF",(INDEX(SP_CFA_FCF_PreDiv,0,COLUMN())/INDEX(SP_CS_ShareCount,0,COLUMN()))/(AQ64/AQ5)-1))</f>
        <v>0.34000382995021061</v>
      </c>
      <c r="AW115" s="759">
        <f>IF(OR(INDEX(SP_CFA_FCF_PreDiv,0,COLUMN())&lt;=0,AR64&lt;=0),"NMF",IF(ABS((INDEX(SP_CFA_FCF_PreDiv,0,COLUMN())/INDEX(SP_CS_ShareCount,0,COLUMN()))/(AR64/AR5)-1)&gt;10,"NMF",(INDEX(SP_CFA_FCF_PreDiv,0,COLUMN())/INDEX(SP_CS_ShareCount,0,COLUMN()))/(AR64/AR5)-1))</f>
        <v>0.76156197696822647</v>
      </c>
      <c r="AX115" s="132">
        <f t="shared" ca="1" si="191"/>
        <v>1.7695947085209318</v>
      </c>
      <c r="AY115" s="131">
        <f t="shared" ca="1" si="191"/>
        <v>0.61909170436506367</v>
      </c>
      <c r="AZ115" s="132">
        <f ca="1">IF(OR(INDEX(SP_CFA_FCF_PreDiv,0,COLUMN())&lt;=0,AU64&lt;=0),"NMF",IF(ABS((INDEX(SP_CFA_FCF_PreDiv,0,COLUMN())/INDEX(SP_CS_ShareCount,0,COLUMN()))/(AU64/AU5)-1)&gt;10,"NMF",(INDEX(SP_CFA_FCF_PreDiv,0,COLUMN())/INDEX(SP_CS_ShareCount,0,COLUMN()))/(AU64/AU5)-1))</f>
        <v>6.0656236544009898</v>
      </c>
      <c r="BA115" s="132">
        <f ca="1">IF(OR(INDEX(SP_CFA_FCF_PreDiv,0,COLUMN())&lt;=0,AV64&lt;=0),"NMF",IF(ABS((INDEX(SP_CFA_FCF_PreDiv,0,COLUMN())/INDEX(SP_CS_ShareCount,0,COLUMN()))/(AV64/AV5)-1)&gt;10,"NMF",(INDEX(SP_CFA_FCF_PreDiv,0,COLUMN())/INDEX(SP_CS_ShareCount,0,COLUMN()))/(AV64/AV5)-1))</f>
        <v>1.6120811381908449</v>
      </c>
      <c r="BB115" s="132">
        <f ca="1">IF(OR(INDEX(SP_CFA_FCF_PreDiv,0,COLUMN())&lt;=0,AW64&lt;=0),"NMF",IF(ABS((INDEX(SP_CFA_FCF_PreDiv,0,COLUMN())/INDEX(SP_CS_ShareCount,0,COLUMN()))/(AW64/AW5)-1)&gt;10,"NMF",(INDEX(SP_CFA_FCF_PreDiv,0,COLUMN())/INDEX(SP_CS_ShareCount,0,COLUMN()))/(AW64/AW5)-1))</f>
        <v>1.5477506225761228</v>
      </c>
      <c r="BC115" s="132">
        <f ca="1">IF(OR(INDEX(SP_CFA_FCF_PreDiv,0,COLUMN())&lt;=0,AX64&lt;=0),"NMF",IF(ABS((INDEX(SP_CFA_FCF_PreDiv,0,COLUMN())/INDEX(SP_CS_ShareCount,0,COLUMN()))/(AX64/AX5)-1)&gt;10,"NMF",(INDEX(SP_CFA_FCF_PreDiv,0,COLUMN())/INDEX(SP_CS_ShareCount,0,COLUMN()))/(AX64/AX5)-1))</f>
        <v>0.97117503306195174</v>
      </c>
      <c r="BD115" s="131">
        <f ca="1">IF(OR(INDEX(SP_CFA_FCF_PreDiv,0,COLUMN())&lt;=0,AY64&lt;=0),"NMF",IF(ABS((INDEX(SP_CFA_FCF_PreDiv,0,COLUMN())/INDEX(SP_CS_ShareCount,0,COLUMN()))/(AY64/AY5)-1)&gt;10,"NMF",(INDEX(SP_CFA_FCF_PreDiv,0,COLUMN())/INDEX(SP_CS_ShareCount,0,COLUMN()))/(AY64/AY5)-1))</f>
        <v>1.6467946836399121</v>
      </c>
      <c r="BE115" s="131">
        <f ca="1">IF(OR(INDEX(SP_CFA_FCF_PreDiv,0,COLUMN())&lt;=0,BD64&lt;=0),"NMF",IF(ABS((INDEX(SP_CFA_FCF_PreDiv,0,COLUMN())/INDEX(SP_CS_ShareCount,0,COLUMN()))/(BD64/BD5)-1)&gt;10,"NMF",(INDEX(SP_CFA_FCF_PreDiv,0,COLUMN())/INDEX(SP_CS_ShareCount,0,COLUMN()))/(BD64/BD5)-1))</f>
        <v>0.29997129660883792</v>
      </c>
      <c r="BF115" s="131">
        <f ca="1">IF(OR(INDEX(SP_CFA_FCF_PreDiv,0,COLUMN())&lt;=0,BE64&lt;=0),"NMF",IF(ABS((INDEX(SP_CFA_FCF_PreDiv,0,COLUMN())/INDEX(SP_CS_ShareCount,0,COLUMN()))/(BE64/BE5)-1)&gt;10,"NMF",(INDEX(SP_CFA_FCF_PreDiv,0,COLUMN())/INDEX(SP_CS_ShareCount,0,COLUMN()))/(BE64/BE5)-1))</f>
        <v>0.27918833047752689</v>
      </c>
      <c r="BG115" s="131">
        <f ca="1">IF(OR(INDEX(SP_CFA_FCF_PreDiv,0,COLUMN())&lt;=0,BF64&lt;=0),"NMF",IF(ABS((INDEX(SP_CFA_FCF_PreDiv,0,COLUMN())/INDEX(SP_CS_ShareCount,0,COLUMN()))/(BF64/BF5)-1)&gt;10,"NMF",(INDEX(SP_CFA_FCF_PreDiv,0,COLUMN())/INDEX(SP_CS_ShareCount,0,COLUMN()))/(BF64/BF5)-1))</f>
        <v>0.25412438635697909</v>
      </c>
      <c r="BH115" s="299"/>
    </row>
    <row r="116" spans="1:60" x14ac:dyDescent="0.25">
      <c r="A116" s="326"/>
      <c r="B116" s="331"/>
      <c r="C116" s="1089"/>
      <c r="D116" s="1089"/>
      <c r="E116" s="1089"/>
      <c r="F116" s="1089"/>
      <c r="G116" s="1090"/>
      <c r="H116" s="1090"/>
      <c r="I116" s="1090"/>
      <c r="J116" s="1090"/>
      <c r="K116" s="1089"/>
      <c r="L116" s="1090"/>
      <c r="M116" s="1090"/>
      <c r="N116" s="1090"/>
      <c r="O116" s="1090"/>
      <c r="P116" s="1089"/>
      <c r="Q116" s="1090"/>
      <c r="R116" s="1090"/>
      <c r="S116" s="1090"/>
      <c r="T116" s="1090"/>
      <c r="U116" s="1089"/>
      <c r="V116" s="1090"/>
      <c r="W116" s="1090"/>
      <c r="X116" s="1090"/>
      <c r="Y116" s="1090"/>
      <c r="Z116" s="1089"/>
      <c r="AA116" s="1090"/>
      <c r="AB116" s="1090"/>
      <c r="AC116" s="1090"/>
      <c r="AD116" s="1090"/>
      <c r="AE116" s="1089"/>
      <c r="AF116" s="1090"/>
      <c r="AG116" s="1090"/>
      <c r="AH116" s="1090"/>
      <c r="AI116" s="1090"/>
      <c r="AJ116" s="1089"/>
      <c r="AK116" s="1090"/>
      <c r="AL116" s="1090"/>
      <c r="AM116" s="1090"/>
      <c r="AN116" s="1090"/>
      <c r="AO116" s="1089"/>
      <c r="AP116" s="1090"/>
      <c r="AQ116" s="1090"/>
      <c r="AR116" s="1090"/>
      <c r="AS116" s="1090"/>
      <c r="AT116" s="1089"/>
      <c r="AU116" s="1090"/>
      <c r="AV116" s="1090"/>
      <c r="AW116" s="1091"/>
      <c r="AX116" s="1090"/>
      <c r="AY116" s="1089"/>
      <c r="AZ116" s="1090"/>
      <c r="BA116" s="1090"/>
      <c r="BB116" s="1090"/>
      <c r="BC116" s="1090"/>
      <c r="BD116" s="1089"/>
      <c r="BE116" s="1089"/>
      <c r="BF116" s="1089"/>
      <c r="BG116" s="1089"/>
      <c r="BH116" s="1032"/>
    </row>
    <row r="117" spans="1:60" x14ac:dyDescent="0.25">
      <c r="A117" s="196" t="s">
        <v>426</v>
      </c>
      <c r="B117" s="1033"/>
      <c r="C117" s="1092"/>
      <c r="D117" s="1092"/>
      <c r="E117" s="1092"/>
      <c r="F117" s="1092"/>
      <c r="G117" s="1092"/>
      <c r="H117" s="1092"/>
      <c r="I117" s="1092"/>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3"/>
      <c r="AX117" s="1092"/>
      <c r="AY117" s="1092"/>
      <c r="AZ117" s="1092"/>
      <c r="BA117" s="1092"/>
      <c r="BB117" s="1092"/>
      <c r="BC117" s="1092"/>
      <c r="BD117" s="1092"/>
      <c r="BE117" s="1092"/>
      <c r="BF117" s="1092"/>
      <c r="BG117" s="1092"/>
      <c r="BH117" s="1030"/>
    </row>
    <row r="118" spans="1:60" s="82" customFormat="1" x14ac:dyDescent="0.25">
      <c r="A118" s="350" t="str">
        <f>"P/E - "&amp;SP.ValuationToggle</f>
        <v>P/E - Avg</v>
      </c>
      <c r="B118" s="351"/>
      <c r="C118" s="149"/>
      <c r="D118" s="149">
        <f ca="1">INDEX(SP_CS_StockPrice,0,COLUMN())/INDEX(SP_NGF_EPS,0,COLUMN())</f>
        <v>-9.2380223192801587</v>
      </c>
      <c r="E118" s="149">
        <f ca="1">INDEX(SP_CS_StockPrice,0,COLUMN())/INDEX(SP_NGF_EPS,0,COLUMN())</f>
        <v>-12.107963679500376</v>
      </c>
      <c r="F118" s="149">
        <f ca="1">INDEX(SP_CS_StockPrice,0,COLUMN())/INDEX(SP_NGF_EPS,0,COLUMN())</f>
        <v>-9.7204882201363105</v>
      </c>
      <c r="G118" s="150"/>
      <c r="H118" s="150"/>
      <c r="I118" s="150"/>
      <c r="J118" s="150"/>
      <c r="K118" s="149">
        <f ca="1">INDEX(SP_CS_StockPrice,0,COLUMN())/INDEX(SP_NGF_EPS,0,COLUMN())</f>
        <v>134.62838653039807</v>
      </c>
      <c r="L118" s="150"/>
      <c r="M118" s="150"/>
      <c r="N118" s="150"/>
      <c r="O118" s="150"/>
      <c r="P118" s="149">
        <f ca="1">INDEX(SP_CS_StockPrice,0,COLUMN())/INDEX(SP_NGF_EPS,0,COLUMN())</f>
        <v>1580.1244520255725</v>
      </c>
      <c r="Q118" s="150"/>
      <c r="R118" s="150"/>
      <c r="S118" s="150"/>
      <c r="T118" s="150"/>
      <c r="U118" s="149">
        <f ca="1">INDEX(SP_CS_StockPrice,0,COLUMN())/INDEX(SP_NGF_EPS,0,COLUMN())</f>
        <v>-100.01776770301768</v>
      </c>
      <c r="V118" s="150"/>
      <c r="W118" s="151"/>
      <c r="X118" s="151"/>
      <c r="Y118" s="151"/>
      <c r="Z118" s="149">
        <f ca="1">INDEX(SP_CS_StockPrice,0,COLUMN())/INDEX(SP_NGF_EPS,0,COLUMN())</f>
        <v>-73.139018671763651</v>
      </c>
      <c r="AA118" s="151"/>
      <c r="AB118" s="151"/>
      <c r="AC118" s="151"/>
      <c r="AD118" s="151"/>
      <c r="AE118" s="149">
        <f ca="1">INDEX(SP_CS_StockPrice,0,COLUMN())/INDEX(SP_NGF_EPS,0,COLUMN())</f>
        <v>-36.259070186730852</v>
      </c>
      <c r="AF118" s="151"/>
      <c r="AG118" s="151"/>
      <c r="AH118" s="151"/>
      <c r="AI118" s="151"/>
      <c r="AJ118" s="149">
        <f ca="1">INDEX(SP_CS_StockPrice,0,COLUMN())/INDEX(SP_NGF_EPS,0,COLUMN())</f>
        <v>-238.29646743742458</v>
      </c>
      <c r="AK118" s="151"/>
      <c r="AL118" s="151"/>
      <c r="AM118" s="151"/>
      <c r="AN118" s="151"/>
      <c r="AO118" s="149">
        <f ca="1">INDEX(SP_CS_StockPrice,0,COLUMN())/INDEX(SP_NGF_EPS,0,COLUMN())</f>
        <v>1729.1016113945552</v>
      </c>
      <c r="AP118" s="151"/>
      <c r="AQ118" s="151"/>
      <c r="AR118" s="151"/>
      <c r="AS118" s="151"/>
      <c r="AT118" s="149">
        <f ca="1">INDEX(SP_CS_StockPrice,0,COLUMN())/INDEX(SP_NGF_EPS,0,COLUMN())</f>
        <v>129.56552135757059</v>
      </c>
      <c r="AU118" s="151"/>
      <c r="AV118" s="151"/>
      <c r="AW118" s="770"/>
      <c r="AX118" s="151"/>
      <c r="AY118" s="149">
        <f ca="1">INDEX(SP_CS_StockPrice,0,COLUMN())/INDEX(SP_NGF_EPS,0,COLUMN())</f>
        <v>171.42012265239879</v>
      </c>
      <c r="AZ118" s="151"/>
      <c r="BA118" s="151"/>
      <c r="BB118" s="151"/>
      <c r="BC118" s="151"/>
      <c r="BD118" s="149">
        <f ca="1">INDEX(SP_CS_StockPrice,0,COLUMN())/INDEX(SP_NGF_EPS,0,COLUMN())</f>
        <v>87.703554249791466</v>
      </c>
      <c r="BE118" s="149">
        <f ca="1">INDEX(SP_CS_StockPrice,0,COLUMN())/INDEX(SP_NGF_EPS,0,COLUMN())</f>
        <v>72.458784283468702</v>
      </c>
      <c r="BF118" s="149">
        <f ca="1">INDEX(SP_CS_StockPrice,0,COLUMN())/INDEX(SP_NGF_EPS,0,COLUMN())</f>
        <v>61.430702196904484</v>
      </c>
      <c r="BG118" s="149">
        <f ca="1">INDEX(SP_CS_StockPrice,0,COLUMN())/INDEX(SP_NGF_EPS,0,COLUMN())</f>
        <v>49.888438996306512</v>
      </c>
      <c r="BH118" s="151"/>
    </row>
    <row r="119" spans="1:60" s="82" customFormat="1" x14ac:dyDescent="0.25">
      <c r="A119" s="350" t="str">
        <f>"EV/Sales - "&amp;SP.ValuationToggle</f>
        <v>EV/Sales - Avg</v>
      </c>
      <c r="B119" s="351"/>
      <c r="C119" s="149">
        <f>C10/C30</f>
        <v>0</v>
      </c>
      <c r="D119" s="149">
        <f ca="1">D10/D30</f>
        <v>9.331430824845409</v>
      </c>
      <c r="E119" s="149">
        <f ca="1">E10/E30</f>
        <v>13.102501268394956</v>
      </c>
      <c r="F119" s="149">
        <f ca="1">F10/F30</f>
        <v>8.7168779938004537</v>
      </c>
      <c r="G119" s="150"/>
      <c r="H119" s="150"/>
      <c r="I119" s="150"/>
      <c r="J119" s="150"/>
      <c r="K119" s="149">
        <f ca="1">K10/K30</f>
        <v>6.8042657973301681</v>
      </c>
      <c r="L119" s="150"/>
      <c r="M119" s="150"/>
      <c r="N119" s="150"/>
      <c r="O119" s="150"/>
      <c r="P119" s="149">
        <f ca="1">P10/P30</f>
        <v>10.10722433968159</v>
      </c>
      <c r="Q119" s="150"/>
      <c r="R119" s="150"/>
      <c r="S119" s="150"/>
      <c r="T119" s="150"/>
      <c r="U119" s="149">
        <f ca="1">U10/U30</f>
        <v>7.6588723770331866</v>
      </c>
      <c r="V119" s="150"/>
      <c r="W119" s="151"/>
      <c r="X119" s="151"/>
      <c r="Y119" s="151"/>
      <c r="Z119" s="149">
        <f ca="1">Z10/Z30</f>
        <v>5.0046008237858279</v>
      </c>
      <c r="AA119" s="151"/>
      <c r="AB119" s="151"/>
      <c r="AC119" s="151"/>
      <c r="AD119" s="151"/>
      <c r="AE119" s="149">
        <f ca="1">AE10/AE30</f>
        <v>5.1270004269069407</v>
      </c>
      <c r="AF119" s="151"/>
      <c r="AG119" s="151"/>
      <c r="AH119" s="151"/>
      <c r="AI119" s="151"/>
      <c r="AJ119" s="149">
        <f ca="1">AJ10/AJ30</f>
        <v>2.9631439750723749</v>
      </c>
      <c r="AK119" s="151"/>
      <c r="AL119" s="151"/>
      <c r="AM119" s="151"/>
      <c r="AN119" s="151"/>
      <c r="AO119" s="149">
        <f ca="1">AO10/AO30</f>
        <v>2.3114917861114632</v>
      </c>
      <c r="AP119" s="151"/>
      <c r="AQ119" s="151"/>
      <c r="AR119" s="151"/>
      <c r="AS119" s="151"/>
      <c r="AT119" s="149">
        <f ca="1">AT10/AT30</f>
        <v>9.7551313981085475</v>
      </c>
      <c r="AU119" s="151"/>
      <c r="AV119" s="151"/>
      <c r="AW119" s="770"/>
      <c r="AX119" s="151"/>
      <c r="AY119" s="149">
        <f ca="1">AY10/AY30</f>
        <v>22.117771606763949</v>
      </c>
      <c r="AZ119" s="151"/>
      <c r="BA119" s="151"/>
      <c r="BB119" s="151"/>
      <c r="BC119" s="151"/>
      <c r="BD119" s="149">
        <f ca="1">BD10/BD30</f>
        <v>10.432069398207673</v>
      </c>
      <c r="BE119" s="149">
        <f ca="1">BE10/BE30</f>
        <v>8.3710130670563121</v>
      </c>
      <c r="BF119" s="149">
        <f ca="1">BF10/BF30</f>
        <v>6.7325053575639453</v>
      </c>
      <c r="BG119" s="149">
        <f ca="1">BG10/BG30</f>
        <v>5.3868013587441617</v>
      </c>
      <c r="BH119" s="151"/>
    </row>
    <row r="120" spans="1:60" s="82" customFormat="1" x14ac:dyDescent="0.25">
      <c r="A120" s="350" t="str">
        <f>"EV/EBITDA - "&amp;SP.ValuationToggle</f>
        <v>EV/EBITDA - Avg</v>
      </c>
      <c r="B120" s="351"/>
      <c r="C120" s="149"/>
      <c r="D120" s="149">
        <f ca="1">INDEX(SP_CS_EV,0,COLUMN())/INDEX(SP_NGF_EBITDA,0,COLUMN())</f>
        <v>-9.4680864618652389</v>
      </c>
      <c r="E120" s="149">
        <f ca="1">INDEX(SP_CS_EV,0,COLUMN())/INDEX(SP_NGF_EBITDA,0,COLUMN())</f>
        <v>-13.044509208186806</v>
      </c>
      <c r="F120" s="149">
        <f ca="1">INDEX(SP_CS_EV,0,COLUMN())/INDEX(SP_NGF_EBITDA,0,COLUMN())</f>
        <v>-11.424527793671686</v>
      </c>
      <c r="G120" s="150"/>
      <c r="H120" s="150"/>
      <c r="I120" s="150"/>
      <c r="J120" s="150"/>
      <c r="K120" s="149">
        <f ca="1">INDEX(SP_CS_EV,0,COLUMN())/INDEX(SP_NGF_EBITDA,0,COLUMN())</f>
        <v>98.19358652175319</v>
      </c>
      <c r="L120" s="150"/>
      <c r="M120" s="150"/>
      <c r="N120" s="150"/>
      <c r="O120" s="150"/>
      <c r="P120" s="149">
        <f ca="1">INDEX(SP_CS_EV,0,COLUMN())/INDEX(SP_NGF_EBITDA,0,COLUMN())</f>
        <v>160.240022257416</v>
      </c>
      <c r="Q120" s="150"/>
      <c r="R120" s="150"/>
      <c r="S120" s="150"/>
      <c r="T120" s="150"/>
      <c r="U120" s="149">
        <f ca="1">INDEX(SP_CS_EV,0,COLUMN())/INDEX(SP_NGF_EBITDA,0,COLUMN())</f>
        <v>-322.65711275807695</v>
      </c>
      <c r="V120" s="150"/>
      <c r="W120" s="151"/>
      <c r="X120" s="151"/>
      <c r="Y120" s="151"/>
      <c r="Z120" s="149">
        <f ca="1">INDEX(SP_CS_EV,0,COLUMN())/INDEX(SP_NGF_EBITDA,0,COLUMN())</f>
        <v>57.058272485617806</v>
      </c>
      <c r="AA120" s="151"/>
      <c r="AB120" s="151"/>
      <c r="AC120" s="151"/>
      <c r="AD120" s="151"/>
      <c r="AE120" s="149">
        <f ca="1">INDEX(SP_CS_EV,0,COLUMN())/INDEX(SP_NGF_EBITDA,0,COLUMN())</f>
        <v>128.0859727517859</v>
      </c>
      <c r="AF120" s="151"/>
      <c r="AG120" s="151"/>
      <c r="AH120" s="151"/>
      <c r="AI120" s="151"/>
      <c r="AJ120" s="149">
        <f ca="1">INDEX(SP_CS_EV,0,COLUMN())/INDEX(SP_NGF_EBITDA,0,COLUMN())</f>
        <v>28.113527346634037</v>
      </c>
      <c r="AK120" s="151"/>
      <c r="AL120" s="151"/>
      <c r="AM120" s="151"/>
      <c r="AN120" s="151"/>
      <c r="AO120" s="149">
        <f ca="1">INDEX(SP_CS_EV,0,COLUMN())/INDEX(SP_NGF_EBITDA,0,COLUMN())</f>
        <v>19.045204532030688</v>
      </c>
      <c r="AP120" s="151"/>
      <c r="AQ120" s="151"/>
      <c r="AR120" s="151"/>
      <c r="AS120" s="151"/>
      <c r="AT120" s="149">
        <f ca="1">INDEX(SP_CS_EV,0,COLUMN())/INDEX(SP_NGF_EBITDA,0,COLUMN())</f>
        <v>50.849227069545641</v>
      </c>
      <c r="AU120" s="151"/>
      <c r="AV120" s="151"/>
      <c r="AW120" s="770"/>
      <c r="AX120" s="151"/>
      <c r="AY120" s="149">
        <f ca="1">INDEX(SP_CS_EV,0,COLUMN())/INDEX(SP_NGF_EBITDA,0,COLUMN())</f>
        <v>106.41561064055384</v>
      </c>
      <c r="AZ120" s="151"/>
      <c r="BA120" s="151"/>
      <c r="BB120" s="151"/>
      <c r="BC120" s="151"/>
      <c r="BD120" s="149">
        <f ca="1">INDEX(SP_CS_EV,0,COLUMN())/INDEX(SP_NGF_EBITDA,0,COLUMN())</f>
        <v>55.052976995394815</v>
      </c>
      <c r="BE120" s="149">
        <f ca="1">INDEX(SP_CS_EV,0,COLUMN())/INDEX(SP_NGF_EBITDA,0,COLUMN())</f>
        <v>45.442850661247455</v>
      </c>
      <c r="BF120" s="149">
        <f ca="1">INDEX(SP_CS_EV,0,COLUMN())/INDEX(SP_NGF_EBITDA,0,COLUMN())</f>
        <v>37.337850789113936</v>
      </c>
      <c r="BG120" s="149">
        <f ca="1">INDEX(SP_CS_EV,0,COLUMN())/INDEX(SP_NGF_EBITDA,0,COLUMN())</f>
        <v>30.66487360107033</v>
      </c>
      <c r="BH120" s="151"/>
    </row>
    <row r="121" spans="1:60" s="82" customFormat="1" x14ac:dyDescent="0.25">
      <c r="A121" s="350" t="str">
        <f>"P/CF - "&amp;SP.ValuationToggle</f>
        <v>P/CF - Avg</v>
      </c>
      <c r="B121" s="351"/>
      <c r="C121" s="149"/>
      <c r="D121" s="149">
        <f ca="1">INDEX(SP_CS_StockPrice,0,COLUMN())/INDEX(SP_CFA_CFO_PerShare,0,COLUMN())</f>
        <v>-10.155896645869813</v>
      </c>
      <c r="E121" s="149">
        <f ca="1">INDEX(SP_CS_StockPrice,0,COLUMN())/INDEX(SP_CFA_CFO_PerShare,0,COLUMN())</f>
        <v>-13.238569255736548</v>
      </c>
      <c r="F121" s="149">
        <f ca="1">INDEX(SP_CS_StockPrice,0,COLUMN())/INDEX(SP_CFA_CFO_PerShare,0,COLUMN())</f>
        <v>-10.831751803839428</v>
      </c>
      <c r="G121" s="150"/>
      <c r="H121" s="150"/>
      <c r="I121" s="150"/>
      <c r="J121" s="150"/>
      <c r="K121" s="149">
        <f ca="1">INDEX(SP_CS_StockPrice,0,COLUMN())/INDEX(SP_CFA_CFO_PerShare,0,COLUMN())</f>
        <v>120.35275249780834</v>
      </c>
      <c r="L121" s="150"/>
      <c r="M121" s="150"/>
      <c r="N121" s="150"/>
      <c r="O121" s="150"/>
      <c r="P121" s="149">
        <f ca="1">INDEX(SP_CS_StockPrice,0,COLUMN())/INDEX(SP_CFA_CFO_PerShare,0,COLUMN())</f>
        <v>159.21800614656848</v>
      </c>
      <c r="Q121" s="150"/>
      <c r="R121" s="150"/>
      <c r="S121" s="150"/>
      <c r="T121" s="150"/>
      <c r="U121" s="149">
        <f ca="1">INDEX(SP_CS_StockPrice,0,COLUMN())/INDEX(SP_CFA_CFO_PerShare,0,COLUMN())</f>
        <v>-944.9515895317403</v>
      </c>
      <c r="V121" s="150"/>
      <c r="W121" s="151"/>
      <c r="X121" s="151"/>
      <c r="Y121" s="151"/>
      <c r="Z121" s="149">
        <f ca="1">INDEX(SP_CS_StockPrice,0,COLUMN())/INDEX(SP_CFA_CFO_PerShare,0,COLUMN())</f>
        <v>53.068873982179127</v>
      </c>
      <c r="AA121" s="151"/>
      <c r="AB121" s="151"/>
      <c r="AC121" s="151"/>
      <c r="AD121" s="151"/>
      <c r="AE121" s="149">
        <f ca="1">INDEX(SP_CS_StockPrice,0,COLUMN())/INDEX(SP_CFA_CFO_PerShare,0,COLUMN())</f>
        <v>119.51040235645091</v>
      </c>
      <c r="AF121" s="151"/>
      <c r="AG121" s="151"/>
      <c r="AH121" s="151"/>
      <c r="AI121" s="151"/>
      <c r="AJ121" s="149">
        <f ca="1">INDEX(SP_CS_StockPrice,0,COLUMN())/INDEX(SP_CFA_CFO_PerShare,0,COLUMN())</f>
        <v>26.526086450242477</v>
      </c>
      <c r="AK121" s="151"/>
      <c r="AL121" s="151"/>
      <c r="AM121" s="151"/>
      <c r="AN121" s="151"/>
      <c r="AO121" s="149">
        <f ca="1">INDEX(SP_CS_StockPrice,0,COLUMN())/INDEX(SP_CFA_CFO_PerShare,0,COLUMN())</f>
        <v>17.579827566829174</v>
      </c>
      <c r="AP121" s="151"/>
      <c r="AQ121" s="151"/>
      <c r="AR121" s="151"/>
      <c r="AS121" s="151"/>
      <c r="AT121" s="149">
        <f ca="1">INDEX(SP_CS_StockPrice,0,COLUMN())/INDEX(SP_CFA_CFO_PerShare,0,COLUMN())</f>
        <v>54.53495811264996</v>
      </c>
      <c r="AU121" s="151"/>
      <c r="AV121" s="151"/>
      <c r="AW121" s="770"/>
      <c r="AX121" s="151"/>
      <c r="AY121" s="149">
        <f ca="1">INDEX(SP_CS_StockPrice,0,COLUMN())/INDEX(SP_CFA_CFO_PerShare,0,COLUMN())</f>
        <v>116.49768505729386</v>
      </c>
      <c r="AZ121" s="151"/>
      <c r="BA121" s="151"/>
      <c r="BB121" s="151"/>
      <c r="BC121" s="151"/>
      <c r="BD121" s="149">
        <f ca="1">INDEX(SP_CS_StockPrice,0,COLUMN())/INDEX(SP_CFA_CFO_PerShare,0,COLUMN())</f>
        <v>68.590590171962205</v>
      </c>
      <c r="BE121" s="149">
        <f ca="1">INDEX(SP_CS_StockPrice,0,COLUMN())/INDEX(SP_CFA_CFO_PerShare,0,COLUMN())</f>
        <v>57.386588862664922</v>
      </c>
      <c r="BF121" s="149">
        <f ca="1">INDEX(SP_CS_StockPrice,0,COLUMN())/INDEX(SP_CFA_CFO_PerShare,0,COLUMN())</f>
        <v>47.916664417552845</v>
      </c>
      <c r="BG121" s="149">
        <f ca="1">INDEX(SP_CS_StockPrice,0,COLUMN())/INDEX(SP_CFA_CFO_PerShare,0,COLUMN())</f>
        <v>40.193795070874437</v>
      </c>
      <c r="BH121" s="151"/>
    </row>
    <row r="122" spans="1:60" s="83" customFormat="1" x14ac:dyDescent="0.25">
      <c r="A122" s="335" t="str">
        <f>"FCF Yield % to "&amp;SP.ValuationToggle&amp;" Market Cap"</f>
        <v>FCF Yield % to Avg Market Cap</v>
      </c>
      <c r="B122" s="333"/>
      <c r="C122" s="131"/>
      <c r="D122" s="131">
        <f ca="1">INDEX(SP_CFA_FCF_PreDiv,0,COLUMN())/INDEX(SP_CS_MarketCap,0,COLUMN())</f>
        <v>-0.13242442958558043</v>
      </c>
      <c r="E122" s="131">
        <f ca="1">INDEX(SP_CFA_FCF_PreDiv,0,COLUMN())/INDEX(SP_CS_MarketCap,0,COLUMN())</f>
        <v>-0.14399950900237027</v>
      </c>
      <c r="F122" s="131">
        <f ca="1">INDEX(SP_CFA_FCF_PreDiv,0,COLUMN())/INDEX(SP_CS_MarketCap,0,COLUMN())</f>
        <v>-0.16381941821285159</v>
      </c>
      <c r="G122" s="132"/>
      <c r="H122" s="132"/>
      <c r="I122" s="132"/>
      <c r="J122" s="132"/>
      <c r="K122" s="131">
        <f ca="1">INDEX(SP_CFA_FCF_PreDiv,0,COLUMN())/INDEX(SP_CS_MarketCap,0,COLUMN())</f>
        <v>-1.0642225154685788E-2</v>
      </c>
      <c r="L122" s="132"/>
      <c r="M122" s="132"/>
      <c r="N122" s="132"/>
      <c r="O122" s="132"/>
      <c r="P122" s="131">
        <f ca="1">INDEX(SP_CFA_FCF_PreDiv,0,COLUMN())/INDEX(SP_CS_MarketCap,0,COLUMN())</f>
        <v>-2.4255242759448271E-2</v>
      </c>
      <c r="Q122" s="132"/>
      <c r="R122" s="132"/>
      <c r="S122" s="132"/>
      <c r="T122" s="132"/>
      <c r="U122" s="131">
        <f ca="1">INDEX(SP_CFA_FCF_PreDiv,0,COLUMN())/INDEX(SP_CS_MarketCap,0,COLUMN())</f>
        <v>-5.6492046651331645E-2</v>
      </c>
      <c r="V122" s="132"/>
      <c r="W122" s="132"/>
      <c r="X122" s="132"/>
      <c r="Y122" s="132"/>
      <c r="Z122" s="131">
        <f ca="1">INDEX(SP_CFA_FCF_PreDiv,0,COLUMN())/INDEX(SP_CS_MarketCap,0,COLUMN())</f>
        <v>-2.8773933268225617E-2</v>
      </c>
      <c r="AA122" s="132"/>
      <c r="AB122" s="132"/>
      <c r="AC122" s="132"/>
      <c r="AD122" s="132"/>
      <c r="AE122" s="131">
        <f ca="1">INDEX(SP_CFA_FCF_PreDiv,0,COLUMN())/INDEX(SP_CS_MarketCap,0,COLUMN())</f>
        <v>-6.9968794356245673E-2</v>
      </c>
      <c r="AF122" s="132"/>
      <c r="AG122" s="132"/>
      <c r="AH122" s="132"/>
      <c r="AI122" s="132"/>
      <c r="AJ122" s="131">
        <f ca="1">INDEX(SP_CFA_FCF_PreDiv,0,COLUMN())/INDEX(SP_CS_MarketCap,0,COLUMN())</f>
        <v>-5.1685234555531269E-3</v>
      </c>
      <c r="AK122" s="132"/>
      <c r="AL122" s="132"/>
      <c r="AM122" s="132"/>
      <c r="AN122" s="132"/>
      <c r="AO122" s="131">
        <f ca="1">INDEX(SP_CFA_FCF_PreDiv,0,COLUMN())/INDEX(SP_CS_MarketCap,0,COLUMN())</f>
        <v>2.720240035389189E-2</v>
      </c>
      <c r="AP122" s="132"/>
      <c r="AQ122" s="132"/>
      <c r="AR122" s="132"/>
      <c r="AS122" s="132"/>
      <c r="AT122" s="131">
        <f ca="1">INDEX(SP_CFA_FCF_PreDiv,0,COLUMN())/INDEX(SP_CS_MarketCap,0,COLUMN())</f>
        <v>8.014218024624117E-3</v>
      </c>
      <c r="AU122" s="132"/>
      <c r="AV122" s="132"/>
      <c r="AW122" s="759"/>
      <c r="AX122" s="132"/>
      <c r="AY122" s="131">
        <f ca="1">INDEX(SP_CFA_FCF_PreDiv,0,COLUMN())/INDEX(SP_CS_MarketCap,0,COLUMN())</f>
        <v>3.5850750103495464E-3</v>
      </c>
      <c r="AZ122" s="132"/>
      <c r="BA122" s="132"/>
      <c r="BB122" s="132"/>
      <c r="BC122" s="132"/>
      <c r="BD122" s="131">
        <f ca="1">INDEX(SP_CFA_FCF_PreDiv,0,COLUMN())/INDEX(SP_CS_MarketCap,0,COLUMN())</f>
        <v>9.4889574778434828E-3</v>
      </c>
      <c r="BE122" s="131">
        <f ca="1">INDEX(SP_CFA_FCF_PreDiv,0,COLUMN())/INDEX(SP_CS_MarketCap,0,COLUMN())</f>
        <v>1.2335372355938321E-2</v>
      </c>
      <c r="BF122" s="131">
        <f ca="1">INDEX(SP_CFA_FCF_PreDiv,0,COLUMN())/INDEX(SP_CS_MarketCap,0,COLUMN())</f>
        <v>1.5779264369811377E-2</v>
      </c>
      <c r="BG122" s="131">
        <f ca="1">INDEX(SP_CFA_FCF_PreDiv,0,COLUMN())/INDEX(SP_CS_MarketCap,0,COLUMN())</f>
        <v>1.9789160244954238E-2</v>
      </c>
      <c r="BH122" s="299"/>
    </row>
    <row r="123" spans="1:60" s="83" customFormat="1" x14ac:dyDescent="0.25">
      <c r="A123" s="335" t="str">
        <f>"FCF Yield % to "&amp;SP.ValuationToggle&amp;" Enterprise Value"</f>
        <v>FCF Yield % to Avg Enterprise Value</v>
      </c>
      <c r="B123" s="333"/>
      <c r="C123" s="131"/>
      <c r="D123" s="131">
        <f ca="1">INDEX(SP_CFA_FCF_PreDiv,0,COLUMN())/INDEX(SP_CS_EV,0,COLUMN())</f>
        <v>-0.14390733088747659</v>
      </c>
      <c r="E123" s="131">
        <f ca="1">INDEX(SP_CFA_FCF_PreDiv,0,COLUMN())/INDEX(SP_CS_EV,0,COLUMN())</f>
        <v>-0.14479680948535767</v>
      </c>
      <c r="F123" s="131">
        <f ca="1">INDEX(SP_CFA_FCF_PreDiv,0,COLUMN())/INDEX(SP_CS_EV,0,COLUMN())</f>
        <v>-0.15216047402007729</v>
      </c>
      <c r="G123" s="132"/>
      <c r="H123" s="132"/>
      <c r="I123" s="132"/>
      <c r="J123" s="132"/>
      <c r="K123" s="131">
        <f ca="1">INDEX(SP_CFA_FCF_PreDiv,0,COLUMN())/INDEX(SP_CS_EV,0,COLUMN())</f>
        <v>-1.0830224804989233E-2</v>
      </c>
      <c r="L123" s="132"/>
      <c r="M123" s="132"/>
      <c r="N123" s="132"/>
      <c r="O123" s="132"/>
      <c r="P123" s="131">
        <f ca="1">INDEX(SP_CFA_FCF_PreDiv,0,COLUMN())/INDEX(SP_CS_EV,0,COLUMN())</f>
        <v>-2.3831746759683727E-2</v>
      </c>
      <c r="Q123" s="132"/>
      <c r="R123" s="132"/>
      <c r="S123" s="132"/>
      <c r="T123" s="132"/>
      <c r="U123" s="131">
        <f ca="1">INDEX(SP_CFA_FCF_PreDiv,0,COLUMN())/INDEX(SP_CS_EV,0,COLUMN())</f>
        <v>-5.376470199870946E-2</v>
      </c>
      <c r="V123" s="132"/>
      <c r="W123" s="132"/>
      <c r="X123" s="132"/>
      <c r="Y123" s="132"/>
      <c r="Z123" s="131">
        <f ca="1">INDEX(SP_CFA_FCF_PreDiv,0,COLUMN())/INDEX(SP_CS_EV,0,COLUMN())</f>
        <v>-2.4846354012606219E-2</v>
      </c>
      <c r="AA123" s="132"/>
      <c r="AB123" s="132"/>
      <c r="AC123" s="132"/>
      <c r="AD123" s="132"/>
      <c r="AE123" s="131">
        <f ca="1">INDEX(SP_CFA_FCF_PreDiv,0,COLUMN())/INDEX(SP_CS_EV,0,COLUMN())</f>
        <v>-6.0467391965871961E-2</v>
      </c>
      <c r="AF123" s="132"/>
      <c r="AG123" s="132"/>
      <c r="AH123" s="132"/>
      <c r="AI123" s="132"/>
      <c r="AJ123" s="131">
        <f ca="1">INDEX(SP_CFA_FCF_PreDiv,0,COLUMN())/INDEX(SP_CS_EV,0,COLUMN())</f>
        <v>-4.3977444205277544E-3</v>
      </c>
      <c r="AK123" s="132"/>
      <c r="AL123" s="132"/>
      <c r="AM123" s="132"/>
      <c r="AN123" s="132"/>
      <c r="AO123" s="131">
        <f ca="1">INDEX(SP_CFA_FCF_PreDiv,0,COLUMN())/INDEX(SP_CS_EV,0,COLUMN())</f>
        <v>2.3181785369587368E-2</v>
      </c>
      <c r="AP123" s="132"/>
      <c r="AQ123" s="132"/>
      <c r="AR123" s="132"/>
      <c r="AS123" s="132"/>
      <c r="AT123" s="131">
        <f ca="1">INDEX(SP_CFA_FCF_PreDiv,0,COLUMN())/INDEX(SP_CS_EV,0,COLUMN())</f>
        <v>8.1816987558579433E-3</v>
      </c>
      <c r="AU123" s="132"/>
      <c r="AV123" s="132"/>
      <c r="AW123" s="759"/>
      <c r="AX123" s="132"/>
      <c r="AY123" s="131">
        <f ca="1">INDEX(SP_CFA_FCF_PreDiv,0,COLUMN())/INDEX(SP_CS_EV,0,COLUMN())</f>
        <v>3.6094699328289904E-3</v>
      </c>
      <c r="AZ123" s="132"/>
      <c r="BA123" s="132"/>
      <c r="BB123" s="132"/>
      <c r="BC123" s="132"/>
      <c r="BD123" s="131">
        <f ca="1">INDEX(SP_CFA_FCF_PreDiv,0,COLUMN())/INDEX(SP_CS_EV,0,COLUMN())</f>
        <v>9.6660076978816664E-3</v>
      </c>
      <c r="BE123" s="131">
        <f ca="1">INDEX(SP_CFA_FCF_PreDiv,0,COLUMN())/INDEX(SP_CS_EV,0,COLUMN())</f>
        <v>1.2701095060858678E-2</v>
      </c>
      <c r="BF123" s="131">
        <f ca="1">INDEX(SP_CFA_FCF_PreDiv,0,COLUMN())/INDEX(SP_CS_EV,0,COLUMN())</f>
        <v>1.6485266785416192E-2</v>
      </c>
      <c r="BG123" s="131">
        <f ca="1">INDEX(SP_CFA_FCF_PreDiv,0,COLUMN())/INDEX(SP_CS_EV,0,COLUMN())</f>
        <v>2.1075296360283349E-2</v>
      </c>
      <c r="BH123" s="299"/>
    </row>
    <row r="124" spans="1:60" s="83" customFormat="1" x14ac:dyDescent="0.25">
      <c r="A124" s="335"/>
      <c r="B124" s="333"/>
      <c r="C124" s="131"/>
      <c r="D124" s="131"/>
      <c r="E124" s="131"/>
      <c r="F124" s="131"/>
      <c r="G124" s="132"/>
      <c r="H124" s="132"/>
      <c r="I124" s="132"/>
      <c r="J124" s="132"/>
      <c r="K124" s="131"/>
      <c r="L124" s="132"/>
      <c r="M124" s="132"/>
      <c r="N124" s="132"/>
      <c r="O124" s="132"/>
      <c r="P124" s="131"/>
      <c r="Q124" s="132"/>
      <c r="R124" s="132"/>
      <c r="S124" s="132"/>
      <c r="T124" s="132"/>
      <c r="U124" s="131"/>
      <c r="V124" s="132"/>
      <c r="W124" s="132"/>
      <c r="X124" s="132"/>
      <c r="Y124" s="132"/>
      <c r="Z124" s="131"/>
      <c r="AA124" s="132"/>
      <c r="AB124" s="132"/>
      <c r="AC124" s="132"/>
      <c r="AD124" s="132"/>
      <c r="AE124" s="131"/>
      <c r="AF124" s="132"/>
      <c r="AG124" s="132"/>
      <c r="AH124" s="132"/>
      <c r="AI124" s="132"/>
      <c r="AJ124" s="131"/>
      <c r="AK124" s="132"/>
      <c r="AL124" s="132"/>
      <c r="AM124" s="132"/>
      <c r="AN124" s="132"/>
      <c r="AO124" s="131"/>
      <c r="AP124" s="132"/>
      <c r="AQ124" s="132"/>
      <c r="AR124" s="132"/>
      <c r="AS124" s="132"/>
      <c r="AT124" s="131"/>
      <c r="AU124" s="132"/>
      <c r="AV124" s="132"/>
      <c r="AW124" s="759"/>
      <c r="AX124" s="132"/>
      <c r="AY124" s="131"/>
      <c r="AZ124" s="132"/>
      <c r="BA124" s="132"/>
      <c r="BB124" s="132"/>
      <c r="BC124" s="132"/>
      <c r="BD124" s="131"/>
      <c r="BE124" s="131"/>
      <c r="BF124" s="131"/>
      <c r="BG124" s="131"/>
      <c r="BH124" s="299"/>
    </row>
    <row r="125" spans="1:60" x14ac:dyDescent="0.25">
      <c r="A125" s="196" t="s">
        <v>427</v>
      </c>
      <c r="B125" s="1033"/>
      <c r="C125" s="1092"/>
      <c r="D125" s="1092"/>
      <c r="E125" s="1092"/>
      <c r="F125" s="1092"/>
      <c r="G125" s="1092"/>
      <c r="H125" s="1092"/>
      <c r="I125" s="1092"/>
      <c r="J125" s="1092"/>
      <c r="K125" s="1092"/>
      <c r="L125" s="1092"/>
      <c r="M125" s="1092"/>
      <c r="N125" s="1092"/>
      <c r="O125" s="1092"/>
      <c r="P125" s="1092"/>
      <c r="Q125" s="1092"/>
      <c r="R125" s="1092"/>
      <c r="S125" s="1092"/>
      <c r="T125" s="1092"/>
      <c r="U125" s="1092"/>
      <c r="V125" s="1092"/>
      <c r="W125" s="1092"/>
      <c r="X125" s="1092"/>
      <c r="Y125" s="1092"/>
      <c r="Z125" s="1092"/>
      <c r="AA125" s="1092"/>
      <c r="AB125" s="1092"/>
      <c r="AC125" s="1092"/>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3"/>
      <c r="AX125" s="1092"/>
      <c r="AY125" s="1092"/>
      <c r="AZ125" s="1092"/>
      <c r="BA125" s="1092"/>
      <c r="BB125" s="1092"/>
      <c r="BC125" s="1092"/>
      <c r="BD125" s="1092"/>
      <c r="BE125" s="1092"/>
      <c r="BF125" s="1092"/>
      <c r="BG125" s="1092"/>
      <c r="BH125" s="299"/>
    </row>
    <row r="126" spans="1:60" hidden="1" outlineLevel="1" x14ac:dyDescent="0.25">
      <c r="A126" s="1030" t="s">
        <v>124</v>
      </c>
      <c r="B126" s="301"/>
      <c r="C126" s="1094">
        <f t="shared" ref="C126:AH126" si="192">ROUND(INDEX(SP_GF_EBIT,0,COLUMN())-INDEX(MO_RIS_EBIT,0,COLUMN()),6)</f>
        <v>0</v>
      </c>
      <c r="D126" s="1094">
        <f t="shared" si="192"/>
        <v>0</v>
      </c>
      <c r="E126" s="1094">
        <f t="shared" si="192"/>
        <v>0</v>
      </c>
      <c r="F126" s="1094">
        <f t="shared" si="192"/>
        <v>0</v>
      </c>
      <c r="G126" s="1094">
        <f t="shared" si="192"/>
        <v>0</v>
      </c>
      <c r="H126" s="1094">
        <f t="shared" si="192"/>
        <v>0</v>
      </c>
      <c r="I126" s="1094">
        <f t="shared" si="192"/>
        <v>0</v>
      </c>
      <c r="J126" s="1094">
        <f t="shared" si="192"/>
        <v>0</v>
      </c>
      <c r="K126" s="1094">
        <f t="shared" si="192"/>
        <v>0</v>
      </c>
      <c r="L126" s="1094">
        <f t="shared" si="192"/>
        <v>0</v>
      </c>
      <c r="M126" s="1094">
        <f t="shared" si="192"/>
        <v>0</v>
      </c>
      <c r="N126" s="1094">
        <f t="shared" si="192"/>
        <v>0</v>
      </c>
      <c r="O126" s="1094">
        <f t="shared" si="192"/>
        <v>0</v>
      </c>
      <c r="P126" s="1094">
        <f t="shared" si="192"/>
        <v>0</v>
      </c>
      <c r="Q126" s="1094">
        <f t="shared" si="192"/>
        <v>0</v>
      </c>
      <c r="R126" s="1094">
        <f t="shared" si="192"/>
        <v>0</v>
      </c>
      <c r="S126" s="1094">
        <f t="shared" si="192"/>
        <v>0</v>
      </c>
      <c r="T126" s="1094">
        <f t="shared" si="192"/>
        <v>0</v>
      </c>
      <c r="U126" s="1094">
        <f t="shared" si="192"/>
        <v>0</v>
      </c>
      <c r="V126" s="1094">
        <f t="shared" si="192"/>
        <v>0</v>
      </c>
      <c r="W126" s="1094">
        <f t="shared" si="192"/>
        <v>0</v>
      </c>
      <c r="X126" s="1094">
        <f t="shared" si="192"/>
        <v>0</v>
      </c>
      <c r="Y126" s="1094">
        <f t="shared" si="192"/>
        <v>0</v>
      </c>
      <c r="Z126" s="1094">
        <f t="shared" si="192"/>
        <v>0</v>
      </c>
      <c r="AA126" s="1094">
        <f t="shared" si="192"/>
        <v>0</v>
      </c>
      <c r="AB126" s="1094">
        <f t="shared" si="192"/>
        <v>0</v>
      </c>
      <c r="AC126" s="1094">
        <f t="shared" si="192"/>
        <v>0</v>
      </c>
      <c r="AD126" s="1094">
        <f t="shared" si="192"/>
        <v>0</v>
      </c>
      <c r="AE126" s="1094">
        <f t="shared" si="192"/>
        <v>0</v>
      </c>
      <c r="AF126" s="1094">
        <f t="shared" si="192"/>
        <v>0</v>
      </c>
      <c r="AG126" s="1094">
        <f t="shared" si="192"/>
        <v>0</v>
      </c>
      <c r="AH126" s="1094">
        <f t="shared" si="192"/>
        <v>0</v>
      </c>
      <c r="AI126" s="1094">
        <f t="shared" ref="AI126:BG126" si="193">ROUND(INDEX(SP_GF_EBIT,0,COLUMN())-INDEX(MO_RIS_EBIT,0,COLUMN()),6)</f>
        <v>0</v>
      </c>
      <c r="AJ126" s="1094">
        <f t="shared" si="193"/>
        <v>0</v>
      </c>
      <c r="AK126" s="1094">
        <f t="shared" si="193"/>
        <v>0</v>
      </c>
      <c r="AL126" s="1094">
        <f t="shared" si="193"/>
        <v>0</v>
      </c>
      <c r="AM126" s="1094">
        <f t="shared" si="193"/>
        <v>0</v>
      </c>
      <c r="AN126" s="1094">
        <f t="shared" si="193"/>
        <v>0</v>
      </c>
      <c r="AO126" s="1094">
        <f t="shared" si="193"/>
        <v>0</v>
      </c>
      <c r="AP126" s="1094">
        <f t="shared" si="193"/>
        <v>0</v>
      </c>
      <c r="AQ126" s="1094">
        <f t="shared" si="193"/>
        <v>0</v>
      </c>
      <c r="AR126" s="1094">
        <f t="shared" si="193"/>
        <v>0</v>
      </c>
      <c r="AS126" s="1094">
        <f t="shared" si="193"/>
        <v>0</v>
      </c>
      <c r="AT126" s="1094">
        <f t="shared" si="193"/>
        <v>0</v>
      </c>
      <c r="AU126" s="1094">
        <f t="shared" si="193"/>
        <v>0</v>
      </c>
      <c r="AV126" s="1094">
        <f t="shared" si="193"/>
        <v>0</v>
      </c>
      <c r="AW126" s="1095">
        <f t="shared" si="193"/>
        <v>0</v>
      </c>
      <c r="AX126" s="1094">
        <f t="shared" si="193"/>
        <v>0</v>
      </c>
      <c r="AY126" s="1094">
        <f t="shared" si="193"/>
        <v>0</v>
      </c>
      <c r="AZ126" s="1094">
        <f t="shared" si="193"/>
        <v>0</v>
      </c>
      <c r="BA126" s="1094">
        <f t="shared" si="193"/>
        <v>0</v>
      </c>
      <c r="BB126" s="1094">
        <f t="shared" si="193"/>
        <v>0</v>
      </c>
      <c r="BC126" s="1094">
        <f t="shared" si="193"/>
        <v>0</v>
      </c>
      <c r="BD126" s="1094">
        <f t="shared" si="193"/>
        <v>0</v>
      </c>
      <c r="BE126" s="1094">
        <f t="shared" si="193"/>
        <v>0</v>
      </c>
      <c r="BF126" s="1094">
        <f t="shared" si="193"/>
        <v>0</v>
      </c>
      <c r="BG126" s="1094">
        <f t="shared" si="193"/>
        <v>0</v>
      </c>
      <c r="BH126" s="299"/>
    </row>
    <row r="127" spans="1:60" hidden="1" outlineLevel="1" x14ac:dyDescent="0.25">
      <c r="A127" s="1030" t="s">
        <v>428</v>
      </c>
      <c r="B127" s="301"/>
      <c r="C127" s="1094"/>
      <c r="D127" s="1094">
        <f t="shared" ref="D127:AI127" si="194">ROUND(INDEX(SP_NGF_EBITDA,0,COLUMN())-INDEX(MO_RIS_EBITDA_Adj,0,COLUMN()),6)</f>
        <v>0</v>
      </c>
      <c r="E127" s="1094">
        <f t="shared" si="194"/>
        <v>0</v>
      </c>
      <c r="F127" s="1094">
        <f t="shared" si="194"/>
        <v>0</v>
      </c>
      <c r="G127" s="1094">
        <f t="shared" si="194"/>
        <v>0</v>
      </c>
      <c r="H127" s="1094">
        <f t="shared" si="194"/>
        <v>0</v>
      </c>
      <c r="I127" s="1094">
        <f t="shared" si="194"/>
        <v>0</v>
      </c>
      <c r="J127" s="1094">
        <f t="shared" si="194"/>
        <v>0</v>
      </c>
      <c r="K127" s="1094">
        <f t="shared" si="194"/>
        <v>0</v>
      </c>
      <c r="L127" s="1094">
        <f t="shared" si="194"/>
        <v>0</v>
      </c>
      <c r="M127" s="1094">
        <f t="shared" si="194"/>
        <v>0</v>
      </c>
      <c r="N127" s="1094">
        <f t="shared" si="194"/>
        <v>0</v>
      </c>
      <c r="O127" s="1094">
        <f t="shared" si="194"/>
        <v>0</v>
      </c>
      <c r="P127" s="1094">
        <f t="shared" si="194"/>
        <v>0</v>
      </c>
      <c r="Q127" s="1094">
        <f t="shared" si="194"/>
        <v>0</v>
      </c>
      <c r="R127" s="1094">
        <f t="shared" si="194"/>
        <v>0</v>
      </c>
      <c r="S127" s="1094">
        <f t="shared" si="194"/>
        <v>0</v>
      </c>
      <c r="T127" s="1094">
        <f t="shared" si="194"/>
        <v>0</v>
      </c>
      <c r="U127" s="1094">
        <f t="shared" si="194"/>
        <v>0</v>
      </c>
      <c r="V127" s="1094">
        <f t="shared" si="194"/>
        <v>0</v>
      </c>
      <c r="W127" s="1094">
        <f t="shared" si="194"/>
        <v>0</v>
      </c>
      <c r="X127" s="1094">
        <f t="shared" si="194"/>
        <v>0</v>
      </c>
      <c r="Y127" s="1094">
        <f t="shared" si="194"/>
        <v>0</v>
      </c>
      <c r="Z127" s="1094">
        <f t="shared" si="194"/>
        <v>0</v>
      </c>
      <c r="AA127" s="1094">
        <f t="shared" si="194"/>
        <v>0</v>
      </c>
      <c r="AB127" s="1094">
        <f t="shared" si="194"/>
        <v>0</v>
      </c>
      <c r="AC127" s="1094">
        <f t="shared" si="194"/>
        <v>0</v>
      </c>
      <c r="AD127" s="1094">
        <f t="shared" si="194"/>
        <v>0</v>
      </c>
      <c r="AE127" s="1094">
        <f t="shared" si="194"/>
        <v>0</v>
      </c>
      <c r="AF127" s="1094">
        <f t="shared" si="194"/>
        <v>0</v>
      </c>
      <c r="AG127" s="1094">
        <f t="shared" si="194"/>
        <v>0</v>
      </c>
      <c r="AH127" s="1094">
        <f t="shared" si="194"/>
        <v>0</v>
      </c>
      <c r="AI127" s="1094">
        <f t="shared" si="194"/>
        <v>0</v>
      </c>
      <c r="AJ127" s="1094">
        <f t="shared" ref="AJ127:AY127" si="195">ROUND(INDEX(SP_NGF_EBITDA,0,COLUMN())-INDEX(MO_RIS_EBITDA_Adj,0,COLUMN()),6)</f>
        <v>0</v>
      </c>
      <c r="AK127" s="1094">
        <f t="shared" si="195"/>
        <v>0</v>
      </c>
      <c r="AL127" s="1094">
        <f t="shared" si="195"/>
        <v>0</v>
      </c>
      <c r="AM127" s="1094">
        <f t="shared" si="195"/>
        <v>0</v>
      </c>
      <c r="AN127" s="1094">
        <f t="shared" si="195"/>
        <v>0</v>
      </c>
      <c r="AO127" s="1094">
        <f t="shared" si="195"/>
        <v>0</v>
      </c>
      <c r="AP127" s="1094">
        <f t="shared" si="195"/>
        <v>0</v>
      </c>
      <c r="AQ127" s="1094">
        <f t="shared" si="195"/>
        <v>0</v>
      </c>
      <c r="AR127" s="1094">
        <f>ROUND(INDEX(SP_NGF_EBITDA,0,COLUMN())-INDEX(MO_RIS_EBITDA_Adj,0,COLUMN()),6)</f>
        <v>0</v>
      </c>
      <c r="AS127" s="1094">
        <f>ROUND(INDEX(SP_NGF_EBITDA,0,COLUMN())-INDEX(MO_RIS_EBITDA_Adj,0,COLUMN()),6)</f>
        <v>0</v>
      </c>
      <c r="AT127" s="1094">
        <f>ROUND(INDEX(SP_NGF_EBITDA,0,COLUMN())-INDEX(MO_RIS_EBITDA_Adj,0,COLUMN()),6)</f>
        <v>0</v>
      </c>
      <c r="AU127" s="1094">
        <f t="shared" si="195"/>
        <v>0</v>
      </c>
      <c r="AV127" s="1094">
        <f>ROUND(INDEX(SP_NGF_EBITDA,0,COLUMN())-INDEX(MO_RIS_EBITDA_Adj,0,COLUMN()),6)</f>
        <v>0</v>
      </c>
      <c r="AW127" s="1095">
        <f>ROUND(INDEX(SP_NGF_EBITDA,0,COLUMN())-INDEX(MO_RIS_EBITDA_Adj,0,COLUMN()),6)</f>
        <v>0</v>
      </c>
      <c r="AX127" s="1094">
        <f t="shared" si="195"/>
        <v>0</v>
      </c>
      <c r="AY127" s="1094">
        <f t="shared" si="195"/>
        <v>0</v>
      </c>
      <c r="AZ127" s="1094">
        <f t="shared" ref="AZ127:BG127" si="196">ROUND(INDEX(SP_NGF_EBITDA,0,COLUMN())-INDEX(MO_RIS_EBITDA_Adj,0,COLUMN()),6)</f>
        <v>0</v>
      </c>
      <c r="BA127" s="1094">
        <f t="shared" si="196"/>
        <v>0</v>
      </c>
      <c r="BB127" s="1094">
        <f t="shared" si="196"/>
        <v>0</v>
      </c>
      <c r="BC127" s="1094">
        <f t="shared" si="196"/>
        <v>0</v>
      </c>
      <c r="BD127" s="1094">
        <f t="shared" si="196"/>
        <v>0</v>
      </c>
      <c r="BE127" s="1094">
        <f t="shared" si="196"/>
        <v>0</v>
      </c>
      <c r="BF127" s="1094">
        <f t="shared" si="196"/>
        <v>0</v>
      </c>
      <c r="BG127" s="1094">
        <f t="shared" si="196"/>
        <v>0</v>
      </c>
      <c r="BH127" s="299"/>
    </row>
    <row r="128" spans="1:60" s="278" customFormat="1" hidden="1" outlineLevel="1" x14ac:dyDescent="0.25">
      <c r="A128" s="1030" t="s">
        <v>750</v>
      </c>
      <c r="B128" s="301"/>
      <c r="C128" s="1094">
        <f t="shared" ref="C128:AH128" si="197">ROUND(INDEX(SP_NGF_EBIT,0,COLUMN())-INDEX(MO_RIS_EBIT_Adj,0,COLUMN()),6)</f>
        <v>0</v>
      </c>
      <c r="D128" s="1094">
        <f t="shared" si="197"/>
        <v>0</v>
      </c>
      <c r="E128" s="1094">
        <f t="shared" si="197"/>
        <v>0</v>
      </c>
      <c r="F128" s="1094">
        <f t="shared" si="197"/>
        <v>0</v>
      </c>
      <c r="G128" s="1094">
        <f t="shared" si="197"/>
        <v>0</v>
      </c>
      <c r="H128" s="1094">
        <f t="shared" si="197"/>
        <v>0</v>
      </c>
      <c r="I128" s="1094">
        <f t="shared" si="197"/>
        <v>0</v>
      </c>
      <c r="J128" s="1094">
        <f t="shared" si="197"/>
        <v>0</v>
      </c>
      <c r="K128" s="1094">
        <f t="shared" si="197"/>
        <v>0</v>
      </c>
      <c r="L128" s="1094">
        <f t="shared" si="197"/>
        <v>0</v>
      </c>
      <c r="M128" s="1094">
        <f t="shared" si="197"/>
        <v>0</v>
      </c>
      <c r="N128" s="1094">
        <f t="shared" si="197"/>
        <v>0</v>
      </c>
      <c r="O128" s="1094">
        <f t="shared" si="197"/>
        <v>0</v>
      </c>
      <c r="P128" s="1094">
        <f t="shared" si="197"/>
        <v>0</v>
      </c>
      <c r="Q128" s="1094">
        <f t="shared" si="197"/>
        <v>0</v>
      </c>
      <c r="R128" s="1094">
        <f t="shared" si="197"/>
        <v>0</v>
      </c>
      <c r="S128" s="1094">
        <f t="shared" si="197"/>
        <v>0</v>
      </c>
      <c r="T128" s="1094">
        <f t="shared" si="197"/>
        <v>0</v>
      </c>
      <c r="U128" s="1094">
        <f t="shared" si="197"/>
        <v>0</v>
      </c>
      <c r="V128" s="1094">
        <f t="shared" si="197"/>
        <v>0</v>
      </c>
      <c r="W128" s="1094">
        <f t="shared" si="197"/>
        <v>0</v>
      </c>
      <c r="X128" s="1094">
        <f t="shared" si="197"/>
        <v>0</v>
      </c>
      <c r="Y128" s="1094">
        <f t="shared" si="197"/>
        <v>0</v>
      </c>
      <c r="Z128" s="1094">
        <f t="shared" si="197"/>
        <v>0</v>
      </c>
      <c r="AA128" s="1094">
        <f t="shared" si="197"/>
        <v>0</v>
      </c>
      <c r="AB128" s="1094">
        <f t="shared" si="197"/>
        <v>0</v>
      </c>
      <c r="AC128" s="1094">
        <f t="shared" si="197"/>
        <v>0</v>
      </c>
      <c r="AD128" s="1094">
        <f t="shared" si="197"/>
        <v>0</v>
      </c>
      <c r="AE128" s="1094">
        <f t="shared" si="197"/>
        <v>0</v>
      </c>
      <c r="AF128" s="1094">
        <f t="shared" si="197"/>
        <v>0</v>
      </c>
      <c r="AG128" s="1094">
        <f t="shared" si="197"/>
        <v>0</v>
      </c>
      <c r="AH128" s="1094">
        <f t="shared" si="197"/>
        <v>0</v>
      </c>
      <c r="AI128" s="1094">
        <f t="shared" ref="AI128:BG128" si="198">ROUND(INDEX(SP_NGF_EBIT,0,COLUMN())-INDEX(MO_RIS_EBIT_Adj,0,COLUMN()),6)</f>
        <v>0</v>
      </c>
      <c r="AJ128" s="1094">
        <f t="shared" si="198"/>
        <v>0</v>
      </c>
      <c r="AK128" s="1094">
        <f t="shared" si="198"/>
        <v>0</v>
      </c>
      <c r="AL128" s="1094">
        <f t="shared" si="198"/>
        <v>0</v>
      </c>
      <c r="AM128" s="1094">
        <f t="shared" si="198"/>
        <v>0</v>
      </c>
      <c r="AN128" s="1094">
        <f t="shared" si="198"/>
        <v>0</v>
      </c>
      <c r="AO128" s="1094">
        <f t="shared" si="198"/>
        <v>0</v>
      </c>
      <c r="AP128" s="1094">
        <f t="shared" si="198"/>
        <v>0</v>
      </c>
      <c r="AQ128" s="1094">
        <f t="shared" si="198"/>
        <v>0</v>
      </c>
      <c r="AR128" s="1094">
        <f t="shared" si="198"/>
        <v>0</v>
      </c>
      <c r="AS128" s="1094">
        <f t="shared" si="198"/>
        <v>0</v>
      </c>
      <c r="AT128" s="1094">
        <f t="shared" si="198"/>
        <v>0</v>
      </c>
      <c r="AU128" s="1094">
        <f t="shared" si="198"/>
        <v>0</v>
      </c>
      <c r="AV128" s="1094">
        <f t="shared" si="198"/>
        <v>0</v>
      </c>
      <c r="AW128" s="1095">
        <f t="shared" si="198"/>
        <v>0</v>
      </c>
      <c r="AX128" s="1094">
        <f t="shared" si="198"/>
        <v>0</v>
      </c>
      <c r="AY128" s="1094">
        <f t="shared" si="198"/>
        <v>0</v>
      </c>
      <c r="AZ128" s="1094">
        <f t="shared" si="198"/>
        <v>0</v>
      </c>
      <c r="BA128" s="1094">
        <f t="shared" si="198"/>
        <v>0</v>
      </c>
      <c r="BB128" s="1094">
        <f t="shared" si="198"/>
        <v>0</v>
      </c>
      <c r="BC128" s="1094">
        <f t="shared" si="198"/>
        <v>0</v>
      </c>
      <c r="BD128" s="1094">
        <f t="shared" si="198"/>
        <v>0</v>
      </c>
      <c r="BE128" s="1094">
        <f t="shared" si="198"/>
        <v>0</v>
      </c>
      <c r="BF128" s="1094">
        <f t="shared" si="198"/>
        <v>0</v>
      </c>
      <c r="BG128" s="1094">
        <f t="shared" si="198"/>
        <v>0</v>
      </c>
      <c r="BH128" s="299"/>
    </row>
    <row r="129" spans="1:60" hidden="1" outlineLevel="1" x14ac:dyDescent="0.25">
      <c r="A129" s="1030" t="s">
        <v>429</v>
      </c>
      <c r="B129" s="301"/>
      <c r="C129" s="1094"/>
      <c r="D129" s="1094">
        <f t="shared" ref="D129:AI129" si="199">ROUND(INDEX(SP_NGF_NI,0,COLUMN())-INDEX(MO_RIS_NI_NONGAAP_Diluted,0,COLUMN()),6)</f>
        <v>0</v>
      </c>
      <c r="E129" s="1094">
        <f t="shared" si="199"/>
        <v>0</v>
      </c>
      <c r="F129" s="1094">
        <f t="shared" si="199"/>
        <v>0</v>
      </c>
      <c r="G129" s="1094">
        <f t="shared" si="199"/>
        <v>0</v>
      </c>
      <c r="H129" s="1094">
        <f t="shared" si="199"/>
        <v>0</v>
      </c>
      <c r="I129" s="1094">
        <f t="shared" si="199"/>
        <v>0</v>
      </c>
      <c r="J129" s="1094">
        <f t="shared" si="199"/>
        <v>0</v>
      </c>
      <c r="K129" s="1094">
        <f t="shared" si="199"/>
        <v>0</v>
      </c>
      <c r="L129" s="1094">
        <f t="shared" si="199"/>
        <v>0</v>
      </c>
      <c r="M129" s="1094">
        <f t="shared" si="199"/>
        <v>0</v>
      </c>
      <c r="N129" s="1094">
        <f t="shared" si="199"/>
        <v>0</v>
      </c>
      <c r="O129" s="1094">
        <f t="shared" si="199"/>
        <v>0</v>
      </c>
      <c r="P129" s="1094">
        <f t="shared" si="199"/>
        <v>0</v>
      </c>
      <c r="Q129" s="1094">
        <f t="shared" si="199"/>
        <v>0</v>
      </c>
      <c r="R129" s="1094">
        <f t="shared" si="199"/>
        <v>0</v>
      </c>
      <c r="S129" s="1094">
        <f t="shared" si="199"/>
        <v>0</v>
      </c>
      <c r="T129" s="1094">
        <f t="shared" si="199"/>
        <v>0</v>
      </c>
      <c r="U129" s="1094">
        <f t="shared" si="199"/>
        <v>0</v>
      </c>
      <c r="V129" s="1094">
        <f t="shared" si="199"/>
        <v>0</v>
      </c>
      <c r="W129" s="1094">
        <f t="shared" si="199"/>
        <v>0</v>
      </c>
      <c r="X129" s="1094">
        <f t="shared" si="199"/>
        <v>0</v>
      </c>
      <c r="Y129" s="1094">
        <f t="shared" si="199"/>
        <v>0</v>
      </c>
      <c r="Z129" s="1094">
        <f t="shared" si="199"/>
        <v>0</v>
      </c>
      <c r="AA129" s="1094">
        <f t="shared" si="199"/>
        <v>0</v>
      </c>
      <c r="AB129" s="1094">
        <f t="shared" si="199"/>
        <v>0</v>
      </c>
      <c r="AC129" s="1094">
        <f t="shared" si="199"/>
        <v>0</v>
      </c>
      <c r="AD129" s="1094">
        <f t="shared" si="199"/>
        <v>0</v>
      </c>
      <c r="AE129" s="1094">
        <f t="shared" si="199"/>
        <v>0</v>
      </c>
      <c r="AF129" s="1094">
        <f t="shared" si="199"/>
        <v>0</v>
      </c>
      <c r="AG129" s="1094">
        <f t="shared" si="199"/>
        <v>0</v>
      </c>
      <c r="AH129" s="1094">
        <f t="shared" si="199"/>
        <v>0</v>
      </c>
      <c r="AI129" s="1094">
        <f t="shared" si="199"/>
        <v>0</v>
      </c>
      <c r="AJ129" s="1094">
        <f t="shared" ref="AJ129:AY129" si="200">ROUND(INDEX(SP_NGF_NI,0,COLUMN())-INDEX(MO_RIS_NI_NONGAAP_Diluted,0,COLUMN()),6)</f>
        <v>0</v>
      </c>
      <c r="AK129" s="1094">
        <f t="shared" si="200"/>
        <v>0</v>
      </c>
      <c r="AL129" s="1094">
        <f t="shared" si="200"/>
        <v>0</v>
      </c>
      <c r="AM129" s="1094">
        <f t="shared" si="200"/>
        <v>0</v>
      </c>
      <c r="AN129" s="1094">
        <f t="shared" si="200"/>
        <v>0</v>
      </c>
      <c r="AO129" s="1094">
        <f t="shared" si="200"/>
        <v>0</v>
      </c>
      <c r="AP129" s="1094">
        <f t="shared" si="200"/>
        <v>0</v>
      </c>
      <c r="AQ129" s="1094">
        <f t="shared" si="200"/>
        <v>0</v>
      </c>
      <c r="AR129" s="1094">
        <f>ROUND(INDEX(SP_NGF_NI,0,COLUMN())-INDEX(MO_RIS_NI_NONGAAP_Diluted,0,COLUMN()),6)</f>
        <v>0</v>
      </c>
      <c r="AS129" s="1094">
        <f>ROUND(INDEX(SP_NGF_NI,0,COLUMN())-INDEX(MO_RIS_NI_NONGAAP_Diluted,0,COLUMN()),6)</f>
        <v>0</v>
      </c>
      <c r="AT129" s="1094">
        <f>ROUND(INDEX(SP_NGF_NI,0,COLUMN())-INDEX(MO_RIS_NI_NONGAAP_Diluted,0,COLUMN()),6)</f>
        <v>0</v>
      </c>
      <c r="AU129" s="1094">
        <f t="shared" si="200"/>
        <v>0</v>
      </c>
      <c r="AV129" s="1094">
        <f>ROUND(INDEX(SP_NGF_NI,0,COLUMN())-INDEX(MO_RIS_NI_NONGAAP_Diluted,0,COLUMN()),6)</f>
        <v>0</v>
      </c>
      <c r="AW129" s="1095">
        <f>ROUND(INDEX(SP_NGF_NI,0,COLUMN())-INDEX(MO_RIS_NI_NONGAAP_Diluted,0,COLUMN()),6)</f>
        <v>0</v>
      </c>
      <c r="AX129" s="1094">
        <f t="shared" si="200"/>
        <v>0</v>
      </c>
      <c r="AY129" s="1094">
        <f t="shared" si="200"/>
        <v>0</v>
      </c>
      <c r="AZ129" s="1094">
        <f t="shared" ref="AZ129:BG129" ca="1" si="201">ROUND(INDEX(SP_NGF_NI,0,COLUMN())-INDEX(MO_RIS_NI_NONGAAP_Diluted,0,COLUMN()),6)</f>
        <v>0</v>
      </c>
      <c r="BA129" s="1094">
        <f t="shared" ca="1" si="201"/>
        <v>0</v>
      </c>
      <c r="BB129" s="1094">
        <f t="shared" ca="1" si="201"/>
        <v>0</v>
      </c>
      <c r="BC129" s="1094">
        <f t="shared" ca="1" si="201"/>
        <v>0</v>
      </c>
      <c r="BD129" s="1094">
        <f t="shared" ca="1" si="201"/>
        <v>0</v>
      </c>
      <c r="BE129" s="1094">
        <f t="shared" ca="1" si="201"/>
        <v>0</v>
      </c>
      <c r="BF129" s="1094">
        <f t="shared" ca="1" si="201"/>
        <v>0</v>
      </c>
      <c r="BG129" s="1094">
        <f t="shared" ca="1" si="201"/>
        <v>0</v>
      </c>
      <c r="BH129" s="299"/>
    </row>
    <row r="130" spans="1:60" hidden="1" outlineLevel="1" x14ac:dyDescent="0.25">
      <c r="A130" s="1030" t="s">
        <v>430</v>
      </c>
      <c r="B130" s="301"/>
      <c r="C130" s="1094"/>
      <c r="D130" s="1094">
        <f t="shared" ref="D130:AI130" si="202">ROUND(INDEX(SP_GF_NI,0,COLUMN())-INDEX(MO_RIS_NI_GAAP_Basic,0,COLUMN()),6)</f>
        <v>0</v>
      </c>
      <c r="E130" s="1094">
        <f t="shared" si="202"/>
        <v>0</v>
      </c>
      <c r="F130" s="1094">
        <f t="shared" si="202"/>
        <v>0</v>
      </c>
      <c r="G130" s="1094">
        <f t="shared" si="202"/>
        <v>0</v>
      </c>
      <c r="H130" s="1094">
        <f t="shared" si="202"/>
        <v>0</v>
      </c>
      <c r="I130" s="1094">
        <f t="shared" si="202"/>
        <v>0</v>
      </c>
      <c r="J130" s="1094">
        <f t="shared" si="202"/>
        <v>0</v>
      </c>
      <c r="K130" s="1094">
        <f t="shared" si="202"/>
        <v>0</v>
      </c>
      <c r="L130" s="1094">
        <f t="shared" si="202"/>
        <v>0</v>
      </c>
      <c r="M130" s="1094">
        <f t="shared" si="202"/>
        <v>0</v>
      </c>
      <c r="N130" s="1094">
        <f t="shared" si="202"/>
        <v>0</v>
      </c>
      <c r="O130" s="1094">
        <f t="shared" si="202"/>
        <v>0</v>
      </c>
      <c r="P130" s="1094">
        <f t="shared" si="202"/>
        <v>0</v>
      </c>
      <c r="Q130" s="1094">
        <f t="shared" si="202"/>
        <v>0</v>
      </c>
      <c r="R130" s="1094">
        <f t="shared" si="202"/>
        <v>0</v>
      </c>
      <c r="S130" s="1094">
        <f t="shared" si="202"/>
        <v>0</v>
      </c>
      <c r="T130" s="1094">
        <f t="shared" si="202"/>
        <v>0</v>
      </c>
      <c r="U130" s="1094">
        <f t="shared" si="202"/>
        <v>0</v>
      </c>
      <c r="V130" s="1094">
        <f t="shared" si="202"/>
        <v>0</v>
      </c>
      <c r="W130" s="1094">
        <f t="shared" si="202"/>
        <v>0</v>
      </c>
      <c r="X130" s="1094">
        <f t="shared" si="202"/>
        <v>0</v>
      </c>
      <c r="Y130" s="1094">
        <f t="shared" si="202"/>
        <v>0</v>
      </c>
      <c r="Z130" s="1094">
        <f t="shared" si="202"/>
        <v>0</v>
      </c>
      <c r="AA130" s="1094">
        <f t="shared" si="202"/>
        <v>0</v>
      </c>
      <c r="AB130" s="1094">
        <f t="shared" si="202"/>
        <v>0</v>
      </c>
      <c r="AC130" s="1094">
        <f t="shared" si="202"/>
        <v>0</v>
      </c>
      <c r="AD130" s="1094">
        <f t="shared" si="202"/>
        <v>0</v>
      </c>
      <c r="AE130" s="1094">
        <f t="shared" si="202"/>
        <v>0</v>
      </c>
      <c r="AF130" s="1094">
        <f t="shared" si="202"/>
        <v>0</v>
      </c>
      <c r="AG130" s="1094">
        <f t="shared" si="202"/>
        <v>0</v>
      </c>
      <c r="AH130" s="1094">
        <f t="shared" si="202"/>
        <v>0</v>
      </c>
      <c r="AI130" s="1094">
        <f t="shared" si="202"/>
        <v>0</v>
      </c>
      <c r="AJ130" s="1094">
        <f t="shared" ref="AJ130:AY130" si="203">ROUND(INDEX(SP_GF_NI,0,COLUMN())-INDEX(MO_RIS_NI_GAAP_Basic,0,COLUMN()),6)</f>
        <v>0</v>
      </c>
      <c r="AK130" s="1094">
        <f t="shared" si="203"/>
        <v>0</v>
      </c>
      <c r="AL130" s="1094">
        <f t="shared" si="203"/>
        <v>0</v>
      </c>
      <c r="AM130" s="1094">
        <f t="shared" si="203"/>
        <v>0</v>
      </c>
      <c r="AN130" s="1094">
        <f t="shared" si="203"/>
        <v>0</v>
      </c>
      <c r="AO130" s="1094">
        <f t="shared" si="203"/>
        <v>0</v>
      </c>
      <c r="AP130" s="1094">
        <f t="shared" si="203"/>
        <v>0</v>
      </c>
      <c r="AQ130" s="1094">
        <f t="shared" si="203"/>
        <v>0</v>
      </c>
      <c r="AR130" s="1094">
        <f>ROUND(INDEX(SP_GF_NI,0,COLUMN())-INDEX(MO_RIS_NI_GAAP_Basic,0,COLUMN()),6)</f>
        <v>0</v>
      </c>
      <c r="AS130" s="1094">
        <f>ROUND(INDEX(SP_GF_NI,0,COLUMN())-INDEX(MO_RIS_NI_GAAP_Basic,0,COLUMN()),6)</f>
        <v>0</v>
      </c>
      <c r="AT130" s="1094">
        <f>ROUND(INDEX(SP_GF_NI,0,COLUMN())-INDEX(MO_RIS_NI_GAAP_Basic,0,COLUMN()),6)</f>
        <v>0</v>
      </c>
      <c r="AU130" s="1094">
        <f t="shared" si="203"/>
        <v>0</v>
      </c>
      <c r="AV130" s="1094">
        <f>ROUND(INDEX(SP_GF_NI,0,COLUMN())-INDEX(MO_RIS_NI_GAAP_Basic,0,COLUMN()),6)</f>
        <v>0</v>
      </c>
      <c r="AW130" s="1095">
        <f>ROUND(INDEX(SP_GF_NI,0,COLUMN())-INDEX(MO_RIS_NI_GAAP_Basic,0,COLUMN()),6)</f>
        <v>0</v>
      </c>
      <c r="AX130" s="1094">
        <f t="shared" si="203"/>
        <v>0</v>
      </c>
      <c r="AY130" s="1094">
        <f t="shared" si="203"/>
        <v>0</v>
      </c>
      <c r="AZ130" s="1094">
        <f t="shared" ref="AZ130:BG130" ca="1" si="204">ROUND(INDEX(SP_GF_NI,0,COLUMN())-INDEX(MO_RIS_NI_GAAP_Basic,0,COLUMN()),6)</f>
        <v>0</v>
      </c>
      <c r="BA130" s="1094">
        <f t="shared" ca="1" si="204"/>
        <v>0</v>
      </c>
      <c r="BB130" s="1094">
        <f t="shared" ca="1" si="204"/>
        <v>0</v>
      </c>
      <c r="BC130" s="1094">
        <f t="shared" ca="1" si="204"/>
        <v>0</v>
      </c>
      <c r="BD130" s="1094">
        <f t="shared" ca="1" si="204"/>
        <v>0</v>
      </c>
      <c r="BE130" s="1094">
        <f t="shared" ca="1" si="204"/>
        <v>0</v>
      </c>
      <c r="BF130" s="1094">
        <f t="shared" ca="1" si="204"/>
        <v>0</v>
      </c>
      <c r="BG130" s="1094">
        <f t="shared" ca="1" si="204"/>
        <v>0</v>
      </c>
      <c r="BH130" s="299"/>
    </row>
    <row r="131" spans="1:60" hidden="1" outlineLevel="1" x14ac:dyDescent="0.25">
      <c r="A131" s="1030" t="s">
        <v>431</v>
      </c>
      <c r="B131" s="301"/>
      <c r="C131" s="1094"/>
      <c r="D131" s="1094">
        <f t="shared" ref="D131:AI131" si="205">ROUND(INDEX(SP_CFA_NetChange,0,COLUMN())-INDEX(MO_CFS_NetChange,0,COLUMN()),6)</f>
        <v>0</v>
      </c>
      <c r="E131" s="1094">
        <f t="shared" si="205"/>
        <v>0</v>
      </c>
      <c r="F131" s="1094">
        <f t="shared" si="205"/>
        <v>0</v>
      </c>
      <c r="G131" s="1094">
        <f t="shared" si="205"/>
        <v>0</v>
      </c>
      <c r="H131" s="1094">
        <f t="shared" si="205"/>
        <v>0</v>
      </c>
      <c r="I131" s="1094">
        <f t="shared" si="205"/>
        <v>0</v>
      </c>
      <c r="J131" s="1094">
        <f t="shared" si="205"/>
        <v>0</v>
      </c>
      <c r="K131" s="1094">
        <f t="shared" si="205"/>
        <v>0</v>
      </c>
      <c r="L131" s="1094">
        <f t="shared" si="205"/>
        <v>0</v>
      </c>
      <c r="M131" s="1094">
        <f t="shared" si="205"/>
        <v>0</v>
      </c>
      <c r="N131" s="1094">
        <f t="shared" si="205"/>
        <v>0</v>
      </c>
      <c r="O131" s="1094">
        <f t="shared" si="205"/>
        <v>0</v>
      </c>
      <c r="P131" s="1094">
        <f t="shared" si="205"/>
        <v>0</v>
      </c>
      <c r="Q131" s="1094">
        <f t="shared" si="205"/>
        <v>0</v>
      </c>
      <c r="R131" s="1094">
        <f t="shared" si="205"/>
        <v>0</v>
      </c>
      <c r="S131" s="1094">
        <f t="shared" si="205"/>
        <v>0</v>
      </c>
      <c r="T131" s="1094">
        <f t="shared" si="205"/>
        <v>0</v>
      </c>
      <c r="U131" s="1094">
        <f t="shared" si="205"/>
        <v>0</v>
      </c>
      <c r="V131" s="1094">
        <f t="shared" si="205"/>
        <v>0</v>
      </c>
      <c r="W131" s="1094">
        <f t="shared" si="205"/>
        <v>0</v>
      </c>
      <c r="X131" s="1094">
        <f t="shared" si="205"/>
        <v>0</v>
      </c>
      <c r="Y131" s="1094">
        <f t="shared" si="205"/>
        <v>0</v>
      </c>
      <c r="Z131" s="1094">
        <f t="shared" si="205"/>
        <v>0</v>
      </c>
      <c r="AA131" s="1094">
        <f t="shared" si="205"/>
        <v>0</v>
      </c>
      <c r="AB131" s="1094">
        <f t="shared" si="205"/>
        <v>0</v>
      </c>
      <c r="AC131" s="1094">
        <f t="shared" si="205"/>
        <v>0</v>
      </c>
      <c r="AD131" s="1094">
        <f t="shared" si="205"/>
        <v>0</v>
      </c>
      <c r="AE131" s="1094">
        <f t="shared" si="205"/>
        <v>0</v>
      </c>
      <c r="AF131" s="1094">
        <f t="shared" si="205"/>
        <v>0</v>
      </c>
      <c r="AG131" s="1094">
        <f t="shared" si="205"/>
        <v>0</v>
      </c>
      <c r="AH131" s="1094">
        <f t="shared" si="205"/>
        <v>0</v>
      </c>
      <c r="AI131" s="1094">
        <f t="shared" si="205"/>
        <v>0</v>
      </c>
      <c r="AJ131" s="1094">
        <f t="shared" ref="AJ131:AY131" si="206">ROUND(INDEX(SP_CFA_NetChange,0,COLUMN())-INDEX(MO_CFS_NetChange,0,COLUMN()),6)</f>
        <v>0</v>
      </c>
      <c r="AK131" s="1094">
        <f t="shared" si="206"/>
        <v>0</v>
      </c>
      <c r="AL131" s="1094">
        <f t="shared" si="206"/>
        <v>0</v>
      </c>
      <c r="AM131" s="1094">
        <f t="shared" si="206"/>
        <v>0</v>
      </c>
      <c r="AN131" s="1094">
        <f t="shared" si="206"/>
        <v>0</v>
      </c>
      <c r="AO131" s="1094">
        <f t="shared" si="206"/>
        <v>0</v>
      </c>
      <c r="AP131" s="1094">
        <f t="shared" si="206"/>
        <v>0</v>
      </c>
      <c r="AQ131" s="1094">
        <f t="shared" si="206"/>
        <v>0</v>
      </c>
      <c r="AR131" s="1094">
        <f>ROUND(INDEX(SP_CFA_NetChange,0,COLUMN())-INDEX(MO_CFS_NetChange,0,COLUMN()),6)</f>
        <v>0</v>
      </c>
      <c r="AS131" s="1094">
        <f>ROUND(INDEX(SP_CFA_NetChange,0,COLUMN())-INDEX(MO_CFS_NetChange,0,COLUMN()),6)</f>
        <v>0</v>
      </c>
      <c r="AT131" s="1094">
        <f>ROUND(INDEX(SP_CFA_NetChange,0,COLUMN())-INDEX(MO_CFS_NetChange,0,COLUMN()),6)</f>
        <v>0</v>
      </c>
      <c r="AU131" s="1094">
        <f t="shared" si="206"/>
        <v>0</v>
      </c>
      <c r="AV131" s="1094">
        <f>ROUND(INDEX(SP_CFA_NetChange,0,COLUMN())-INDEX(MO_CFS_NetChange,0,COLUMN()),6)</f>
        <v>0</v>
      </c>
      <c r="AW131" s="1095">
        <f>ROUND(INDEX(SP_CFA_NetChange,0,COLUMN())-INDEX(MO_CFS_NetChange,0,COLUMN()),6)</f>
        <v>0</v>
      </c>
      <c r="AX131" s="1094">
        <f t="shared" ca="1" si="206"/>
        <v>0</v>
      </c>
      <c r="AY131" s="1094">
        <f t="shared" ca="1" si="206"/>
        <v>0</v>
      </c>
      <c r="AZ131" s="1094">
        <f t="shared" ref="AZ131:BG131" ca="1" si="207">ROUND(INDEX(SP_CFA_NetChange,0,COLUMN())-INDEX(MO_CFS_NetChange,0,COLUMN()),6)</f>
        <v>0</v>
      </c>
      <c r="BA131" s="1094">
        <f t="shared" ca="1" si="207"/>
        <v>0</v>
      </c>
      <c r="BB131" s="1094">
        <f t="shared" ca="1" si="207"/>
        <v>0</v>
      </c>
      <c r="BC131" s="1094">
        <f t="shared" ca="1" si="207"/>
        <v>0</v>
      </c>
      <c r="BD131" s="1094">
        <f t="shared" ca="1" si="207"/>
        <v>0</v>
      </c>
      <c r="BE131" s="1094">
        <f t="shared" ca="1" si="207"/>
        <v>0</v>
      </c>
      <c r="BF131" s="1094">
        <f t="shared" ca="1" si="207"/>
        <v>0</v>
      </c>
      <c r="BG131" s="1094">
        <f t="shared" ca="1" si="207"/>
        <v>0</v>
      </c>
      <c r="BH131" s="299"/>
    </row>
    <row r="132" spans="1:60" collapsed="1" x14ac:dyDescent="0.25">
      <c r="A132" s="299"/>
      <c r="B132" s="299"/>
      <c r="C132" s="141"/>
      <c r="D132" s="141"/>
      <c r="E132" s="141"/>
      <c r="F132" s="141"/>
      <c r="G132" s="299"/>
      <c r="H132" s="299"/>
      <c r="I132" s="299"/>
      <c r="J132" s="299"/>
      <c r="K132" s="141"/>
      <c r="L132" s="299"/>
      <c r="M132" s="299"/>
      <c r="N132" s="299"/>
      <c r="O132" s="299"/>
      <c r="P132" s="141"/>
      <c r="Q132" s="299"/>
      <c r="R132" s="299"/>
      <c r="S132" s="299"/>
      <c r="T132" s="299"/>
      <c r="U132" s="141"/>
      <c r="V132" s="299"/>
      <c r="W132" s="299"/>
      <c r="X132" s="299"/>
      <c r="Y132" s="299"/>
      <c r="Z132" s="141"/>
      <c r="AA132" s="299"/>
      <c r="AB132" s="299"/>
      <c r="AC132" s="299"/>
      <c r="AD132" s="299"/>
      <c r="AE132" s="141"/>
      <c r="AF132" s="299"/>
      <c r="AG132" s="299"/>
      <c r="AH132" s="299"/>
      <c r="AI132" s="299"/>
      <c r="AJ132" s="141"/>
      <c r="AK132" s="299"/>
      <c r="AL132" s="299"/>
      <c r="AM132" s="299"/>
      <c r="AN132" s="299"/>
      <c r="AO132" s="141"/>
      <c r="AP132" s="299"/>
      <c r="AQ132" s="299"/>
      <c r="AR132" s="299"/>
      <c r="AS132" s="299"/>
      <c r="AT132" s="141"/>
      <c r="AU132" s="299"/>
      <c r="AV132" s="299"/>
      <c r="AW132" s="771"/>
      <c r="AX132" s="299"/>
      <c r="AY132" s="141"/>
      <c r="AZ132" s="299"/>
      <c r="BA132" s="299"/>
      <c r="BB132" s="299"/>
      <c r="BC132" s="299"/>
      <c r="BD132" s="141"/>
      <c r="BE132" s="141"/>
      <c r="BF132" s="141"/>
      <c r="BG132" s="141"/>
      <c r="BH132" s="299"/>
    </row>
    <row r="133" spans="1:60" x14ac:dyDescent="0.25">
      <c r="A133" s="582" t="s">
        <v>541</v>
      </c>
      <c r="B133" s="198"/>
      <c r="C133" s="198"/>
      <c r="D133" s="198"/>
      <c r="E133" s="198"/>
      <c r="F133" s="198"/>
      <c r="G133" s="198"/>
      <c r="H133" s="198"/>
      <c r="I133" s="198"/>
      <c r="J133" s="198"/>
      <c r="K133" s="198"/>
      <c r="L133" s="198"/>
      <c r="M133" s="198"/>
      <c r="N133" s="198"/>
      <c r="O133" s="198"/>
      <c r="P133" s="198"/>
      <c r="Q133" s="198"/>
      <c r="R133" s="198"/>
      <c r="S133" s="198"/>
      <c r="T133" s="198"/>
      <c r="U133" s="198"/>
      <c r="V133" s="198"/>
      <c r="W133" s="198"/>
      <c r="X133" s="198"/>
      <c r="Y133" s="198"/>
      <c r="Z133" s="198"/>
      <c r="AA133" s="198"/>
      <c r="AB133" s="198"/>
      <c r="AC133" s="198"/>
      <c r="AD133" s="198"/>
      <c r="AE133" s="198"/>
      <c r="AF133" s="198"/>
      <c r="AG133" s="198"/>
      <c r="AH133" s="198"/>
      <c r="AI133" s="198"/>
      <c r="AJ133" s="198"/>
      <c r="AK133" s="198"/>
      <c r="AL133" s="198"/>
      <c r="AM133" s="198"/>
      <c r="AN133" s="198"/>
      <c r="AO133" s="198"/>
      <c r="AP133" s="198"/>
      <c r="AQ133" s="198"/>
      <c r="AR133" s="198"/>
      <c r="AS133" s="198"/>
      <c r="AT133" s="198"/>
      <c r="AU133" s="198"/>
      <c r="AV133" s="198"/>
      <c r="AW133" s="198"/>
      <c r="AX133" s="198"/>
      <c r="AY133" s="198"/>
      <c r="AZ133" s="198"/>
      <c r="BA133" s="198"/>
      <c r="BB133" s="198"/>
      <c r="BC133" s="198"/>
      <c r="BD133" s="198"/>
      <c r="BE133" s="198"/>
      <c r="BF133" s="198"/>
      <c r="BG133" s="198"/>
      <c r="BH133" s="299"/>
    </row>
    <row r="134" spans="1:60" collapsed="1" x14ac:dyDescent="0.25">
      <c r="A134" s="136"/>
      <c r="B134" s="299"/>
      <c r="C134" s="299"/>
      <c r="D134" s="299"/>
      <c r="E134" s="299"/>
      <c r="F134" s="299"/>
      <c r="G134" s="299"/>
      <c r="H134" s="299"/>
      <c r="I134" s="299"/>
      <c r="J134" s="299"/>
      <c r="K134" s="299"/>
      <c r="L134" s="299"/>
      <c r="M134" s="299"/>
      <c r="N134" s="299"/>
      <c r="O134" s="299"/>
      <c r="P134" s="299"/>
      <c r="Q134" s="299"/>
      <c r="R134" s="299"/>
      <c r="S134" s="299"/>
      <c r="T134" s="299"/>
      <c r="U134" s="299"/>
      <c r="V134" s="299"/>
      <c r="W134" s="299"/>
      <c r="X134" s="299"/>
      <c r="Y134" s="299"/>
      <c r="Z134" s="299"/>
      <c r="AA134" s="299"/>
      <c r="AB134" s="299"/>
      <c r="AC134" s="299"/>
      <c r="AD134" s="299"/>
      <c r="AE134" s="299"/>
      <c r="AF134" s="299"/>
      <c r="AG134" s="299"/>
      <c r="AH134" s="299"/>
      <c r="AI134" s="299"/>
      <c r="AJ134" s="299"/>
      <c r="AK134" s="299"/>
      <c r="AL134" s="299"/>
      <c r="AM134" s="299"/>
      <c r="AN134" s="299"/>
      <c r="AO134" s="299"/>
      <c r="AP134" s="299"/>
      <c r="AQ134" s="299"/>
      <c r="AR134" s="299"/>
      <c r="AS134" s="299"/>
      <c r="AT134" s="299"/>
      <c r="AU134" s="299"/>
      <c r="AV134" s="299"/>
      <c r="AW134" s="299"/>
      <c r="AX134" s="299"/>
      <c r="AY134" s="299"/>
      <c r="AZ134" s="299"/>
      <c r="BA134" s="299"/>
      <c r="BB134" s="299"/>
      <c r="BC134" s="299"/>
      <c r="BD134" s="299"/>
      <c r="BE134" s="299"/>
      <c r="BF134" s="299"/>
      <c r="BG134" s="299"/>
      <c r="BH134" s="299"/>
    </row>
  </sheetData>
  <conditionalFormatting sqref="C126:BG131">
    <cfRule type="cellIs" dxfId="1" priority="120" operator="equal">
      <formula>0</formula>
    </cfRule>
  </conditionalFormatting>
  <conditionalFormatting sqref="C126:BG131">
    <cfRule type="cellIs" dxfId="0" priority="121" operator="notEqual">
      <formula>0</formula>
    </cfRule>
  </conditionalFormatting>
  <dataValidations count="1">
    <dataValidation type="list" allowBlank="1" showInputMessage="1" showErrorMessage="1" sqref="B4" xr:uid="{00000000-0002-0000-0400-000000000000}">
      <formula1>OFFSET(tb_ValuationToggle,1,0,3,1)</formula1>
    </dataValidation>
  </dataValidations>
  <pageMargins left="0.7" right="0.7" top="0.75" bottom="0.75" header="0.3" footer="0.3"/>
  <pageSetup scale="3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1"/>
  <dimension ref="A1:J68"/>
  <sheetViews>
    <sheetView showGridLines="0" zoomScaleNormal="100" workbookViewId="0"/>
  </sheetViews>
  <sheetFormatPr defaultColWidth="8.85546875" defaultRowHeight="15" x14ac:dyDescent="0.25"/>
  <cols>
    <col min="1" max="1" width="4.42578125" style="24" customWidth="1"/>
    <col min="2" max="2" width="9.85546875" style="24" customWidth="1"/>
    <col min="3" max="3" width="15.7109375" style="24" customWidth="1"/>
    <col min="4" max="4" width="20.7109375" style="24" customWidth="1"/>
    <col min="5" max="5" width="30.7109375" style="24" customWidth="1"/>
    <col min="6" max="6" width="20.7109375" style="24"/>
    <col min="7" max="7" width="23.7109375" style="24" customWidth="1"/>
    <col min="8" max="8" width="45.7109375" style="24" customWidth="1"/>
    <col min="9" max="9" width="7.85546875" style="24" customWidth="1"/>
    <col min="10" max="15" width="8.85546875" style="24" customWidth="1"/>
    <col min="16" max="16384" width="8.85546875" style="24"/>
  </cols>
  <sheetData>
    <row r="1" spans="1:10" x14ac:dyDescent="0.25">
      <c r="A1" s="18"/>
      <c r="B1" s="18"/>
      <c r="C1" s="18"/>
      <c r="D1" s="18"/>
      <c r="E1" s="18"/>
      <c r="F1" s="18"/>
      <c r="G1" s="18"/>
      <c r="H1" s="18"/>
    </row>
    <row r="2" spans="1:10" x14ac:dyDescent="0.25">
      <c r="A2" s="18"/>
      <c r="B2" s="68"/>
      <c r="C2" s="68"/>
      <c r="D2" s="68"/>
      <c r="E2" s="15"/>
      <c r="F2" s="15"/>
      <c r="G2" s="15"/>
      <c r="H2" s="15"/>
      <c r="I2" s="15"/>
    </row>
    <row r="3" spans="1:10" x14ac:dyDescent="0.25">
      <c r="A3" s="18"/>
      <c r="B3" s="68"/>
      <c r="C3" s="68"/>
      <c r="D3" s="68"/>
      <c r="E3" s="15"/>
      <c r="F3" s="15"/>
      <c r="G3" s="15"/>
      <c r="H3" s="15"/>
      <c r="I3" s="15"/>
    </row>
    <row r="4" spans="1:10" x14ac:dyDescent="0.25">
      <c r="A4" s="18"/>
      <c r="B4" s="68"/>
      <c r="C4" s="68"/>
      <c r="D4" s="68"/>
      <c r="E4" s="15"/>
      <c r="F4" s="15"/>
      <c r="G4" s="15"/>
      <c r="H4" s="15"/>
      <c r="I4" s="15"/>
    </row>
    <row r="5" spans="1:10" x14ac:dyDescent="0.25">
      <c r="A5" s="18"/>
      <c r="B5" s="68"/>
      <c r="C5" s="68"/>
      <c r="D5" s="68"/>
      <c r="E5" s="15"/>
      <c r="F5" s="15"/>
      <c r="G5" s="15"/>
      <c r="H5" s="15"/>
      <c r="I5" s="15"/>
    </row>
    <row r="6" spans="1:10" x14ac:dyDescent="0.25">
      <c r="A6" s="18"/>
      <c r="B6" s="68"/>
      <c r="C6" s="68"/>
      <c r="D6" s="68"/>
      <c r="E6" s="15"/>
      <c r="F6" s="15"/>
      <c r="G6" s="15"/>
      <c r="H6" s="15"/>
      <c r="I6" s="15"/>
    </row>
    <row r="7" spans="1:10" ht="18.75" customHeight="1" x14ac:dyDescent="0.25">
      <c r="A7" s="18"/>
      <c r="B7" s="68"/>
      <c r="C7" s="68"/>
      <c r="D7" s="68"/>
      <c r="E7" s="449">
        <f>MO.MRFPColumnNumber</f>
        <v>49</v>
      </c>
      <c r="F7" s="17" t="str">
        <f>MO.MRFP</f>
        <v>Q3-2021</v>
      </c>
      <c r="G7" s="500"/>
      <c r="H7" s="168" t="str">
        <f>AA.CSIN</f>
        <v>GMEG0H0133</v>
      </c>
      <c r="I7" s="16"/>
      <c r="J7" s="22"/>
    </row>
    <row r="8" spans="1:10" x14ac:dyDescent="0.25">
      <c r="A8" s="18"/>
      <c r="B8" s="68"/>
      <c r="C8" s="68"/>
      <c r="D8" s="68"/>
      <c r="E8" s="15"/>
      <c r="F8" s="15"/>
      <c r="G8" s="15"/>
      <c r="H8" s="291" t="str">
        <f>+AA.ModelVersion</f>
        <v>Q3-2021.36</v>
      </c>
      <c r="I8" s="15"/>
    </row>
    <row r="9" spans="1:10" x14ac:dyDescent="0.25">
      <c r="A9" s="18"/>
      <c r="B9" s="15"/>
      <c r="C9" s="15"/>
      <c r="D9" s="15"/>
      <c r="E9" s="15"/>
      <c r="F9" s="15"/>
      <c r="G9" s="15"/>
      <c r="H9" s="15"/>
      <c r="I9" s="15"/>
    </row>
    <row r="10" spans="1:10" x14ac:dyDescent="0.25">
      <c r="A10" s="18"/>
      <c r="B10" s="15"/>
      <c r="C10" s="497" t="s">
        <v>432</v>
      </c>
      <c r="D10" s="497" t="s">
        <v>433</v>
      </c>
      <c r="E10" s="497" t="s">
        <v>434</v>
      </c>
      <c r="F10" s="497" t="s">
        <v>486</v>
      </c>
      <c r="G10" s="497" t="s">
        <v>435</v>
      </c>
      <c r="H10" s="510" t="s">
        <v>436</v>
      </c>
      <c r="I10" s="15"/>
    </row>
    <row r="11" spans="1:10" s="848" customFormat="1" x14ac:dyDescent="0.25">
      <c r="A11" s="70"/>
      <c r="B11" s="68"/>
      <c r="C11" s="290">
        <v>44494</v>
      </c>
      <c r="D11" s="287" t="s">
        <v>691</v>
      </c>
      <c r="E11" s="496" t="s">
        <v>487</v>
      </c>
      <c r="F11" s="496" t="s">
        <v>689</v>
      </c>
      <c r="G11" s="501"/>
      <c r="H11" s="512" t="s">
        <v>438</v>
      </c>
      <c r="I11" s="68"/>
    </row>
    <row r="12" spans="1:10" s="813" customFormat="1" x14ac:dyDescent="0.25">
      <c r="A12" s="70"/>
      <c r="B12" s="68"/>
      <c r="C12" s="290">
        <v>44489</v>
      </c>
      <c r="D12" s="287" t="s">
        <v>540</v>
      </c>
      <c r="E12" s="496" t="s">
        <v>479</v>
      </c>
      <c r="F12" s="496" t="s">
        <v>689</v>
      </c>
      <c r="G12" s="501"/>
      <c r="H12" s="586" t="s">
        <v>438</v>
      </c>
      <c r="I12" s="68"/>
    </row>
    <row r="13" spans="1:10" s="813" customFormat="1" x14ac:dyDescent="0.25">
      <c r="A13" s="70"/>
      <c r="B13" s="68"/>
      <c r="C13" s="290">
        <v>44405</v>
      </c>
      <c r="D13" s="287" t="s">
        <v>599</v>
      </c>
      <c r="E13" s="496" t="s">
        <v>487</v>
      </c>
      <c r="F13" s="496" t="s">
        <v>598</v>
      </c>
      <c r="G13" s="501"/>
      <c r="H13" s="586" t="s">
        <v>438</v>
      </c>
      <c r="I13" s="68"/>
    </row>
    <row r="14" spans="1:10" s="772" customFormat="1" x14ac:dyDescent="0.25">
      <c r="A14" s="70"/>
      <c r="B14" s="68"/>
      <c r="C14" s="290">
        <v>44403</v>
      </c>
      <c r="D14" s="287" t="s">
        <v>540</v>
      </c>
      <c r="E14" s="496" t="s">
        <v>479</v>
      </c>
      <c r="F14" s="496" t="s">
        <v>598</v>
      </c>
      <c r="G14" s="501"/>
      <c r="H14" s="586" t="s">
        <v>438</v>
      </c>
      <c r="I14" s="68"/>
    </row>
    <row r="15" spans="1:10" s="772" customFormat="1" x14ac:dyDescent="0.25">
      <c r="A15" s="70"/>
      <c r="B15" s="68"/>
      <c r="C15" s="290">
        <v>44316</v>
      </c>
      <c r="D15" s="287" t="s">
        <v>540</v>
      </c>
      <c r="E15" s="496" t="s">
        <v>487</v>
      </c>
      <c r="F15" s="496" t="s">
        <v>582</v>
      </c>
      <c r="G15" s="501"/>
      <c r="H15" s="586" t="s">
        <v>438</v>
      </c>
      <c r="I15" s="68"/>
    </row>
    <row r="16" spans="1:10" s="617" customFormat="1" x14ac:dyDescent="0.25">
      <c r="A16" s="70"/>
      <c r="B16" s="68"/>
      <c r="C16" s="290">
        <v>44312</v>
      </c>
      <c r="D16" s="287" t="s">
        <v>540</v>
      </c>
      <c r="E16" s="496" t="s">
        <v>479</v>
      </c>
      <c r="F16" s="496" t="s">
        <v>582</v>
      </c>
      <c r="G16" s="501"/>
      <c r="H16" s="586" t="s">
        <v>438</v>
      </c>
      <c r="I16" s="68"/>
    </row>
    <row r="17" spans="1:9" s="617" customFormat="1" x14ac:dyDescent="0.25">
      <c r="A17" s="70"/>
      <c r="B17" s="68"/>
      <c r="C17" s="290">
        <v>44237</v>
      </c>
      <c r="D17" s="287" t="s">
        <v>456</v>
      </c>
      <c r="E17" s="496" t="s">
        <v>459</v>
      </c>
      <c r="F17" s="496" t="s">
        <v>489</v>
      </c>
      <c r="G17" s="501"/>
      <c r="H17" s="586" t="s">
        <v>438</v>
      </c>
      <c r="I17" s="68"/>
    </row>
    <row r="18" spans="1:9" s="589" customFormat="1" x14ac:dyDescent="0.25">
      <c r="A18" s="70"/>
      <c r="B18" s="68"/>
      <c r="C18" s="290">
        <v>44223</v>
      </c>
      <c r="D18" s="287" t="s">
        <v>568</v>
      </c>
      <c r="E18" s="496" t="s">
        <v>479</v>
      </c>
      <c r="F18" s="496" t="s">
        <v>489</v>
      </c>
      <c r="G18" s="501"/>
      <c r="H18" s="586" t="s">
        <v>438</v>
      </c>
      <c r="I18" s="68"/>
    </row>
    <row r="19" spans="1:9" s="589" customFormat="1" x14ac:dyDescent="0.25">
      <c r="A19" s="70"/>
      <c r="B19" s="68"/>
      <c r="C19" s="290">
        <v>44133</v>
      </c>
      <c r="D19" s="287" t="s">
        <v>544</v>
      </c>
      <c r="E19" s="496" t="s">
        <v>487</v>
      </c>
      <c r="F19" s="496" t="s">
        <v>542</v>
      </c>
      <c r="G19" s="501"/>
      <c r="H19" s="586" t="s">
        <v>438</v>
      </c>
      <c r="I19" s="68"/>
    </row>
    <row r="20" spans="1:9" s="581" customFormat="1" x14ac:dyDescent="0.25">
      <c r="A20" s="70"/>
      <c r="B20" s="68"/>
      <c r="C20" s="290">
        <v>44125</v>
      </c>
      <c r="D20" s="287" t="s">
        <v>439</v>
      </c>
      <c r="E20" s="496" t="s">
        <v>479</v>
      </c>
      <c r="F20" s="496" t="s">
        <v>542</v>
      </c>
      <c r="G20" s="501"/>
      <c r="H20" s="586" t="s">
        <v>438</v>
      </c>
      <c r="I20" s="68"/>
    </row>
    <row r="21" spans="1:9" s="581" customFormat="1" x14ac:dyDescent="0.25">
      <c r="A21" s="70"/>
      <c r="B21" s="68"/>
      <c r="C21" s="290">
        <v>44046</v>
      </c>
      <c r="D21" s="287" t="s">
        <v>540</v>
      </c>
      <c r="E21" s="496" t="s">
        <v>487</v>
      </c>
      <c r="F21" s="496" t="s">
        <v>493</v>
      </c>
      <c r="G21" s="501"/>
      <c r="H21" s="586" t="s">
        <v>438</v>
      </c>
      <c r="I21" s="68"/>
    </row>
    <row r="22" spans="1:9" s="513" customFormat="1" x14ac:dyDescent="0.25">
      <c r="A22" s="70"/>
      <c r="B22" s="68"/>
      <c r="C22" s="290">
        <v>44034</v>
      </c>
      <c r="D22" s="287" t="s">
        <v>439</v>
      </c>
      <c r="E22" s="496" t="s">
        <v>479</v>
      </c>
      <c r="F22" s="496" t="s">
        <v>493</v>
      </c>
      <c r="G22" s="501"/>
      <c r="H22" s="512" t="s">
        <v>438</v>
      </c>
      <c r="I22" s="68"/>
    </row>
    <row r="23" spans="1:9" s="513" customFormat="1" x14ac:dyDescent="0.25">
      <c r="A23" s="70"/>
      <c r="B23" s="68"/>
      <c r="C23" s="290">
        <v>43959</v>
      </c>
      <c r="D23" s="287" t="s">
        <v>480</v>
      </c>
      <c r="E23" s="496" t="s">
        <v>487</v>
      </c>
      <c r="F23" s="496" t="s">
        <v>492</v>
      </c>
      <c r="G23" s="501"/>
      <c r="H23" s="512" t="s">
        <v>438</v>
      </c>
      <c r="I23" s="68"/>
    </row>
    <row r="24" spans="1:9" s="505" customFormat="1" x14ac:dyDescent="0.25">
      <c r="A24" s="70"/>
      <c r="B24" s="68"/>
      <c r="C24" s="290">
        <v>43950</v>
      </c>
      <c r="D24" s="287" t="s">
        <v>439</v>
      </c>
      <c r="E24" s="496" t="s">
        <v>479</v>
      </c>
      <c r="F24" s="496" t="s">
        <v>492</v>
      </c>
      <c r="G24" s="501"/>
      <c r="H24" s="512" t="s">
        <v>438</v>
      </c>
      <c r="I24" s="68"/>
    </row>
    <row r="25" spans="1:9" s="505" customFormat="1" x14ac:dyDescent="0.25">
      <c r="A25" s="70"/>
      <c r="B25" s="68"/>
      <c r="C25" s="290">
        <v>43874</v>
      </c>
      <c r="D25" s="287" t="s">
        <v>480</v>
      </c>
      <c r="E25" s="496" t="s">
        <v>459</v>
      </c>
      <c r="F25" s="496" t="s">
        <v>364</v>
      </c>
      <c r="G25" s="501"/>
      <c r="H25" s="511" t="s">
        <v>438</v>
      </c>
      <c r="I25" s="68"/>
    </row>
    <row r="26" spans="1:9" s="454" customFormat="1" x14ac:dyDescent="0.25">
      <c r="A26" s="70"/>
      <c r="B26" s="68"/>
      <c r="C26" s="290">
        <v>43859</v>
      </c>
      <c r="D26" s="287" t="s">
        <v>439</v>
      </c>
      <c r="E26" s="496" t="s">
        <v>479</v>
      </c>
      <c r="F26" s="496" t="s">
        <v>364</v>
      </c>
      <c r="G26" s="501"/>
      <c r="H26" s="498" t="s">
        <v>438</v>
      </c>
      <c r="I26" s="68"/>
    </row>
    <row r="27" spans="1:9" s="454" customFormat="1" x14ac:dyDescent="0.25">
      <c r="A27" s="70"/>
      <c r="B27" s="68"/>
      <c r="C27" s="290">
        <v>43767</v>
      </c>
      <c r="D27" s="287" t="s">
        <v>480</v>
      </c>
      <c r="E27" s="496" t="s">
        <v>487</v>
      </c>
      <c r="F27" s="496" t="s">
        <v>478</v>
      </c>
      <c r="G27" s="501"/>
      <c r="H27" s="498" t="s">
        <v>438</v>
      </c>
      <c r="I27" s="68"/>
    </row>
    <row r="28" spans="1:9" s="454" customFormat="1" x14ac:dyDescent="0.25">
      <c r="A28" s="70"/>
      <c r="B28" s="68"/>
      <c r="C28" s="290">
        <v>43761</v>
      </c>
      <c r="D28" s="287" t="s">
        <v>439</v>
      </c>
      <c r="E28" s="496" t="s">
        <v>479</v>
      </c>
      <c r="F28" s="496" t="s">
        <v>478</v>
      </c>
      <c r="G28" s="501"/>
      <c r="H28" s="498" t="s">
        <v>438</v>
      </c>
      <c r="I28" s="68"/>
    </row>
    <row r="29" spans="1:9" s="454" customFormat="1" x14ac:dyDescent="0.25">
      <c r="A29" s="70"/>
      <c r="B29" s="68"/>
      <c r="C29" s="391">
        <v>43676</v>
      </c>
      <c r="D29" s="390" t="s">
        <v>458</v>
      </c>
      <c r="E29" s="455" t="s">
        <v>487</v>
      </c>
      <c r="F29" s="455" t="s">
        <v>369</v>
      </c>
      <c r="G29" s="502"/>
      <c r="H29" s="453" t="s">
        <v>438</v>
      </c>
      <c r="I29" s="68"/>
    </row>
    <row r="30" spans="1:9" s="451" customFormat="1" x14ac:dyDescent="0.25">
      <c r="A30" s="70"/>
      <c r="B30" s="68"/>
      <c r="C30" s="393">
        <v>43670</v>
      </c>
      <c r="D30" s="394" t="s">
        <v>439</v>
      </c>
      <c r="E30" s="456" t="s">
        <v>479</v>
      </c>
      <c r="F30" s="456" t="s">
        <v>369</v>
      </c>
      <c r="G30" s="503"/>
      <c r="H30" s="457" t="s">
        <v>438</v>
      </c>
      <c r="I30" s="68"/>
    </row>
    <row r="31" spans="1:9" s="448" customFormat="1" x14ac:dyDescent="0.25">
      <c r="A31" s="64"/>
      <c r="B31" s="46"/>
      <c r="C31" s="393">
        <v>43584</v>
      </c>
      <c r="D31" s="394" t="s">
        <v>466</v>
      </c>
      <c r="E31" s="442" t="s">
        <v>487</v>
      </c>
      <c r="F31" s="442" t="s">
        <v>370</v>
      </c>
      <c r="G31" s="503"/>
      <c r="H31" s="447" t="s">
        <v>438</v>
      </c>
      <c r="I31" s="46"/>
    </row>
    <row r="32" spans="1:9" s="445" customFormat="1" x14ac:dyDescent="0.25">
      <c r="A32" s="64"/>
      <c r="B32" s="46"/>
      <c r="C32" s="393">
        <v>43579</v>
      </c>
      <c r="D32" s="394" t="s">
        <v>458</v>
      </c>
      <c r="E32" s="442" t="s">
        <v>479</v>
      </c>
      <c r="F32" s="442" t="s">
        <v>370</v>
      </c>
      <c r="G32" s="503"/>
      <c r="H32" s="447" t="s">
        <v>438</v>
      </c>
      <c r="I32" s="46"/>
    </row>
    <row r="33" spans="1:10" s="443" customFormat="1" x14ac:dyDescent="0.25">
      <c r="A33" s="64"/>
      <c r="B33" s="46"/>
      <c r="C33" s="393">
        <v>43515</v>
      </c>
      <c r="D33" s="394" t="s">
        <v>437</v>
      </c>
      <c r="E33" s="442" t="s">
        <v>459</v>
      </c>
      <c r="F33" s="442" t="s">
        <v>371</v>
      </c>
      <c r="G33" s="503"/>
      <c r="H33" s="444" t="s">
        <v>438</v>
      </c>
      <c r="I33" s="46"/>
    </row>
    <row r="34" spans="1:10" s="32" customFormat="1" x14ac:dyDescent="0.25">
      <c r="A34" s="18"/>
      <c r="B34" s="15"/>
      <c r="C34" s="393">
        <v>43495</v>
      </c>
      <c r="D34" s="394" t="s">
        <v>439</v>
      </c>
      <c r="E34" s="442" t="s">
        <v>479</v>
      </c>
      <c r="F34" s="442" t="s">
        <v>371</v>
      </c>
      <c r="G34" s="503"/>
      <c r="H34" s="392" t="s">
        <v>438</v>
      </c>
      <c r="I34" s="15"/>
    </row>
    <row r="35" spans="1:10" s="32" customFormat="1" x14ac:dyDescent="0.25">
      <c r="A35" s="18"/>
      <c r="B35" s="15"/>
      <c r="C35" s="393">
        <v>43397</v>
      </c>
      <c r="D35" s="394" t="s">
        <v>441</v>
      </c>
      <c r="E35" s="442" t="s">
        <v>487</v>
      </c>
      <c r="F35" s="442" t="s">
        <v>376</v>
      </c>
      <c r="G35" s="503"/>
      <c r="H35" s="444" t="s">
        <v>438</v>
      </c>
      <c r="I35" s="15"/>
    </row>
    <row r="36" spans="1:10" s="32" customFormat="1" x14ac:dyDescent="0.25">
      <c r="A36" s="18"/>
      <c r="B36" s="15"/>
      <c r="C36" s="393">
        <v>43313</v>
      </c>
      <c r="D36" s="394" t="s">
        <v>442</v>
      </c>
      <c r="E36" s="395" t="s">
        <v>487</v>
      </c>
      <c r="F36" s="395" t="s">
        <v>379</v>
      </c>
      <c r="G36" s="503"/>
      <c r="H36" s="392" t="s">
        <v>438</v>
      </c>
      <c r="I36" s="15"/>
    </row>
    <row r="37" spans="1:10" s="32" customFormat="1" x14ac:dyDescent="0.25">
      <c r="A37" s="18"/>
      <c r="B37" s="15"/>
      <c r="C37" s="386">
        <v>43227</v>
      </c>
      <c r="D37" s="387" t="s">
        <v>443</v>
      </c>
      <c r="E37" s="388" t="s">
        <v>487</v>
      </c>
      <c r="F37" s="388" t="s">
        <v>380</v>
      </c>
      <c r="G37" s="504"/>
      <c r="H37" s="389" t="s">
        <v>438</v>
      </c>
      <c r="I37" s="15"/>
    </row>
    <row r="38" spans="1:10" s="32" customFormat="1" x14ac:dyDescent="0.25">
      <c r="A38" s="18"/>
      <c r="B38" s="15"/>
      <c r="C38" s="290">
        <v>43157</v>
      </c>
      <c r="D38" s="287" t="s">
        <v>444</v>
      </c>
      <c r="E38" s="288" t="s">
        <v>459</v>
      </c>
      <c r="F38" s="288" t="s">
        <v>445</v>
      </c>
      <c r="G38" s="501"/>
      <c r="H38" s="289" t="s">
        <v>438</v>
      </c>
      <c r="I38" s="15"/>
    </row>
    <row r="39" spans="1:10" s="32" customFormat="1" x14ac:dyDescent="0.25">
      <c r="A39" s="18"/>
      <c r="B39" s="15"/>
      <c r="C39" s="267">
        <v>43045</v>
      </c>
      <c r="D39" s="264" t="s">
        <v>446</v>
      </c>
      <c r="E39" s="265" t="s">
        <v>487</v>
      </c>
      <c r="F39" s="265" t="s">
        <v>447</v>
      </c>
      <c r="G39" s="501"/>
      <c r="H39" s="266" t="s">
        <v>438</v>
      </c>
      <c r="I39" s="15"/>
    </row>
    <row r="40" spans="1:10" s="32" customFormat="1" x14ac:dyDescent="0.25">
      <c r="A40" s="18"/>
      <c r="B40" s="15"/>
      <c r="C40" s="218">
        <v>42956</v>
      </c>
      <c r="D40" s="219" t="s">
        <v>448</v>
      </c>
      <c r="E40" s="220" t="s">
        <v>449</v>
      </c>
      <c r="F40" s="220" t="s">
        <v>451</v>
      </c>
      <c r="G40" s="501"/>
      <c r="H40" s="221"/>
      <c r="I40" s="15"/>
    </row>
    <row r="41" spans="1:10" s="32" customFormat="1" x14ac:dyDescent="0.25">
      <c r="A41" s="18"/>
      <c r="B41" s="15"/>
      <c r="C41" s="203">
        <v>42954</v>
      </c>
      <c r="D41" s="204" t="s">
        <v>450</v>
      </c>
      <c r="E41" s="205" t="s">
        <v>487</v>
      </c>
      <c r="F41" s="205" t="s">
        <v>451</v>
      </c>
      <c r="G41" s="501"/>
      <c r="H41" s="177" t="s">
        <v>438</v>
      </c>
      <c r="I41" s="15"/>
    </row>
    <row r="42" spans="1:10" s="32" customFormat="1" x14ac:dyDescent="0.25">
      <c r="A42" s="18"/>
      <c r="B42" s="15"/>
      <c r="C42" s="200">
        <v>42875</v>
      </c>
      <c r="D42" s="201" t="s">
        <v>448</v>
      </c>
      <c r="E42" s="202" t="s">
        <v>487</v>
      </c>
      <c r="F42" s="202" t="s">
        <v>452</v>
      </c>
      <c r="G42" s="504"/>
      <c r="H42" s="177" t="s">
        <v>438</v>
      </c>
      <c r="I42" s="15"/>
    </row>
    <row r="43" spans="1:10" s="32" customFormat="1" x14ac:dyDescent="0.25">
      <c r="A43" s="18"/>
      <c r="B43" s="15"/>
      <c r="C43" s="21">
        <v>42790</v>
      </c>
      <c r="D43" s="20" t="s">
        <v>448</v>
      </c>
      <c r="E43" s="165" t="s">
        <v>487</v>
      </c>
      <c r="F43" s="165" t="s">
        <v>453</v>
      </c>
      <c r="G43" s="501"/>
      <c r="H43" s="177" t="s">
        <v>438</v>
      </c>
      <c r="I43" s="15"/>
    </row>
    <row r="44" spans="1:10" s="32" customFormat="1" x14ac:dyDescent="0.25">
      <c r="A44" s="18"/>
      <c r="B44" s="15"/>
      <c r="C44" s="21">
        <v>42696</v>
      </c>
      <c r="D44" s="20" t="s">
        <v>454</v>
      </c>
      <c r="E44" s="19" t="s">
        <v>487</v>
      </c>
      <c r="F44" s="19" t="s">
        <v>455</v>
      </c>
      <c r="G44" s="501"/>
      <c r="H44" s="152" t="s">
        <v>438</v>
      </c>
      <c r="I44" s="15"/>
    </row>
    <row r="45" spans="1:10" x14ac:dyDescent="0.25">
      <c r="A45" s="18"/>
      <c r="B45" s="15"/>
      <c r="C45" s="21">
        <v>42538</v>
      </c>
      <c r="D45" s="20" t="s">
        <v>456</v>
      </c>
      <c r="E45" s="19" t="s">
        <v>457</v>
      </c>
      <c r="F45" s="19" t="s">
        <v>440</v>
      </c>
      <c r="G45" s="501"/>
      <c r="H45" s="153"/>
      <c r="I45" s="15"/>
    </row>
    <row r="46" spans="1:10" x14ac:dyDescent="0.25">
      <c r="A46" s="18"/>
      <c r="B46" s="15"/>
      <c r="C46" s="15"/>
      <c r="D46" s="15"/>
      <c r="E46" s="15"/>
      <c r="F46" s="15"/>
      <c r="G46" s="15"/>
      <c r="H46" s="15"/>
      <c r="I46" s="15"/>
    </row>
    <row r="47" spans="1:10" x14ac:dyDescent="0.25">
      <c r="A47" s="18"/>
      <c r="B47" s="15"/>
      <c r="C47" s="15"/>
      <c r="D47" s="15"/>
      <c r="E47" s="15"/>
      <c r="F47" s="15"/>
      <c r="G47" s="15"/>
      <c r="H47" s="68"/>
      <c r="I47" s="68"/>
      <c r="J47" s="69"/>
    </row>
    <row r="48" spans="1:10" x14ac:dyDescent="0.25">
      <c r="A48" s="18"/>
      <c r="B48" s="15"/>
      <c r="C48" s="15"/>
      <c r="D48" s="15"/>
      <c r="E48" s="15"/>
      <c r="F48" s="15"/>
      <c r="G48" s="15"/>
      <c r="H48" s="68"/>
      <c r="I48" s="68"/>
      <c r="J48" s="69"/>
    </row>
    <row r="49" spans="1:10" x14ac:dyDescent="0.25">
      <c r="A49" s="18"/>
      <c r="B49" s="18"/>
      <c r="C49" s="18"/>
      <c r="D49" s="18"/>
      <c r="E49" s="18"/>
      <c r="F49" s="18"/>
      <c r="G49" s="18"/>
      <c r="H49" s="70"/>
      <c r="I49" s="69"/>
      <c r="J49" s="69"/>
    </row>
    <row r="50" spans="1:10" x14ac:dyDescent="0.25">
      <c r="A50" s="18"/>
      <c r="B50" s="18"/>
      <c r="C50" s="18"/>
      <c r="D50" s="18"/>
      <c r="E50" s="18"/>
      <c r="F50" s="18"/>
      <c r="G50" s="18"/>
      <c r="H50" s="18"/>
    </row>
    <row r="51" spans="1:10" x14ac:dyDescent="0.25">
      <c r="A51" s="18"/>
      <c r="B51" s="18"/>
      <c r="C51" s="18"/>
      <c r="D51" s="18"/>
      <c r="E51" s="18"/>
      <c r="F51" s="18"/>
      <c r="G51" s="18"/>
      <c r="H51" s="18"/>
    </row>
    <row r="52" spans="1:10" x14ac:dyDescent="0.25">
      <c r="A52" s="18"/>
      <c r="B52" s="18"/>
      <c r="C52" s="18"/>
      <c r="D52" s="18"/>
      <c r="E52" s="18"/>
      <c r="F52" s="18"/>
      <c r="G52" s="18"/>
      <c r="H52" s="18"/>
    </row>
    <row r="53" spans="1:10" x14ac:dyDescent="0.25">
      <c r="A53" s="18"/>
      <c r="B53" s="18"/>
      <c r="C53" s="18"/>
      <c r="D53" s="18"/>
      <c r="E53" s="18"/>
      <c r="F53" s="18"/>
      <c r="G53" s="18"/>
      <c r="H53" s="18"/>
    </row>
    <row r="54" spans="1:10" x14ac:dyDescent="0.25">
      <c r="A54" s="18"/>
      <c r="B54" s="18"/>
      <c r="C54" s="18"/>
      <c r="D54" s="18"/>
      <c r="E54" s="18"/>
      <c r="F54" s="18"/>
      <c r="G54" s="18"/>
      <c r="H54" s="18"/>
    </row>
    <row r="55" spans="1:10" x14ac:dyDescent="0.25">
      <c r="A55" s="18"/>
      <c r="B55" s="18"/>
      <c r="C55" s="18"/>
      <c r="D55" s="18"/>
      <c r="E55" s="18"/>
      <c r="F55" s="18"/>
      <c r="G55" s="18"/>
      <c r="H55" s="18"/>
    </row>
    <row r="56" spans="1:10" x14ac:dyDescent="0.25">
      <c r="A56" s="18"/>
      <c r="B56" s="18"/>
      <c r="C56" s="18"/>
      <c r="D56" s="18"/>
      <c r="E56" s="18"/>
      <c r="F56" s="18"/>
      <c r="G56" s="18"/>
      <c r="H56" s="18"/>
    </row>
    <row r="57" spans="1:10" x14ac:dyDescent="0.25">
      <c r="A57" s="18"/>
      <c r="B57" s="18"/>
      <c r="C57" s="18"/>
      <c r="D57" s="18"/>
      <c r="E57" s="18"/>
      <c r="F57" s="18"/>
      <c r="G57" s="18"/>
      <c r="H57" s="18"/>
    </row>
    <row r="58" spans="1:10" x14ac:dyDescent="0.25">
      <c r="A58" s="18"/>
      <c r="B58" s="18"/>
      <c r="C58" s="18"/>
      <c r="D58" s="18"/>
      <c r="E58" s="18"/>
      <c r="F58" s="18"/>
      <c r="G58" s="18"/>
      <c r="H58" s="18"/>
    </row>
    <row r="59" spans="1:10" x14ac:dyDescent="0.25">
      <c r="A59" s="18"/>
      <c r="B59" s="18"/>
      <c r="C59" s="18"/>
      <c r="D59" s="18"/>
      <c r="E59" s="18"/>
      <c r="F59" s="18"/>
      <c r="G59" s="18"/>
      <c r="H59" s="18"/>
    </row>
    <row r="60" spans="1:10" x14ac:dyDescent="0.25">
      <c r="A60" s="18"/>
      <c r="B60" s="18"/>
      <c r="C60" s="18"/>
      <c r="D60" s="18"/>
      <c r="E60" s="18"/>
      <c r="F60" s="18"/>
      <c r="G60" s="18"/>
      <c r="H60" s="18"/>
    </row>
    <row r="61" spans="1:10" x14ac:dyDescent="0.25">
      <c r="A61" s="18"/>
      <c r="B61" s="18"/>
      <c r="C61" s="18"/>
      <c r="D61" s="18"/>
      <c r="E61" s="18"/>
      <c r="F61" s="18"/>
      <c r="G61" s="18"/>
      <c r="H61" s="18"/>
    </row>
    <row r="62" spans="1:10" x14ac:dyDescent="0.25">
      <c r="A62" s="18"/>
      <c r="B62" s="18"/>
      <c r="C62" s="18"/>
      <c r="D62" s="18"/>
      <c r="E62" s="18"/>
      <c r="F62" s="18"/>
      <c r="G62" s="18"/>
      <c r="H62" s="18"/>
    </row>
    <row r="63" spans="1:10" x14ac:dyDescent="0.25">
      <c r="A63" s="18"/>
      <c r="B63" s="18"/>
      <c r="C63" s="18"/>
      <c r="D63" s="18"/>
      <c r="E63" s="18"/>
      <c r="F63" s="18"/>
      <c r="G63" s="18"/>
      <c r="H63" s="18"/>
    </row>
    <row r="64" spans="1:10" x14ac:dyDescent="0.25">
      <c r="A64" s="18"/>
      <c r="B64" s="18"/>
      <c r="C64" s="18"/>
      <c r="D64" s="18"/>
      <c r="E64" s="18"/>
      <c r="F64" s="18"/>
      <c r="G64" s="18"/>
      <c r="H64" s="18"/>
    </row>
    <row r="65" spans="1:8" x14ac:dyDescent="0.25">
      <c r="A65" s="18"/>
      <c r="B65" s="18"/>
      <c r="C65" s="18"/>
      <c r="D65" s="18"/>
      <c r="E65" s="18"/>
      <c r="F65" s="18"/>
      <c r="G65" s="18"/>
      <c r="H65" s="18"/>
    </row>
    <row r="66" spans="1:8" x14ac:dyDescent="0.25">
      <c r="A66" s="18"/>
      <c r="B66" s="18"/>
      <c r="C66" s="18"/>
      <c r="D66" s="18"/>
      <c r="E66" s="18"/>
      <c r="F66" s="18"/>
      <c r="G66" s="18"/>
      <c r="H66" s="18"/>
    </row>
    <row r="67" spans="1:8" x14ac:dyDescent="0.25">
      <c r="A67" s="18"/>
      <c r="B67" s="18"/>
      <c r="C67" s="18"/>
      <c r="D67" s="18"/>
      <c r="E67" s="18"/>
      <c r="F67" s="18"/>
      <c r="G67" s="18"/>
      <c r="H67" s="18"/>
    </row>
    <row r="68" spans="1:8" x14ac:dyDescent="0.25">
      <c r="A68" s="18"/>
      <c r="H68" s="18"/>
    </row>
  </sheetData>
  <hyperlinks>
    <hyperlink ref="H33" r:id="rId1" tooltip="Website Link" xr:uid="{00000000-0004-0000-0500-000000000000}"/>
    <hyperlink ref="H34" r:id="rId2" tooltip="Website Link" xr:uid="{00000000-0004-0000-0500-000001000000}"/>
    <hyperlink ref="H35" r:id="rId3" xr:uid="{00000000-0004-0000-0500-000002000000}"/>
    <hyperlink ref="H36" r:id="rId4" tooltip="Website Link" xr:uid="{00000000-0004-0000-0500-000003000000}"/>
    <hyperlink ref="H37" r:id="rId5" tooltip="Website Link" xr:uid="{00000000-0004-0000-0500-000004000000}"/>
    <hyperlink ref="H38" r:id="rId6" tooltip="Website Link" xr:uid="{00000000-0004-0000-0500-000005000000}"/>
    <hyperlink ref="H39" r:id="rId7" tooltip="Website Link" xr:uid="{00000000-0004-0000-0500-000006000000}"/>
    <hyperlink ref="H41" r:id="rId8" tooltip="Website Link" xr:uid="{00000000-0004-0000-0500-000007000000}"/>
    <hyperlink ref="H42" r:id="rId9" tooltip="Website Link" xr:uid="{00000000-0004-0000-0500-000008000000}"/>
    <hyperlink ref="H43" r:id="rId10" tooltip="Website Link" xr:uid="{00000000-0004-0000-0500-000009000000}"/>
    <hyperlink ref="H44" r:id="rId11" tooltip="Website Link" xr:uid="{00000000-0004-0000-0500-00000A000000}"/>
    <hyperlink ref="H32" r:id="rId12" tooltip="Website Link" xr:uid="{00000000-0004-0000-0500-00000B000000}"/>
    <hyperlink ref="H31" r:id="rId13" tooltip="Website Link" xr:uid="{00000000-0004-0000-0500-00000C000000}"/>
    <hyperlink ref="H30" r:id="rId14" tooltip="Website Link" xr:uid="{00000000-0004-0000-0500-00000D000000}"/>
    <hyperlink ref="H29" r:id="rId15" tooltip="Website Link" xr:uid="{00000000-0004-0000-0500-00000E000000}"/>
    <hyperlink ref="H28" r:id="rId16" tooltip="Website Link" xr:uid="{00000000-0004-0000-0500-00000F000000}"/>
    <hyperlink ref="H27" r:id="rId17" tooltip="Website Link" xr:uid="{00000000-0004-0000-0500-000010000000}"/>
    <hyperlink ref="H26" r:id="rId18" tooltip="Website Link" xr:uid="{00000000-0004-0000-0500-000011000000}"/>
    <hyperlink ref="H25" r:id="rId19" tooltip="Website Link" xr:uid="{00000000-0004-0000-0500-000012000000}"/>
    <hyperlink ref="H24" r:id="rId20" tooltip="Website Link" xr:uid="{00000000-0004-0000-0500-000013000000}"/>
    <hyperlink ref="H22" r:id="rId21" tooltip="Website Link" xr:uid="{00000000-0004-0000-0500-000014000000}"/>
    <hyperlink ref="H23" r:id="rId22" tooltip="Website Link" xr:uid="{00000000-0004-0000-0500-000015000000}"/>
    <hyperlink ref="H21" r:id="rId23" tooltip="Website Link" xr:uid="{00000000-0004-0000-0500-000016000000}"/>
    <hyperlink ref="H20" r:id="rId24" tooltip="Website Link" xr:uid="{00000000-0004-0000-0500-000017000000}"/>
    <hyperlink ref="H19" r:id="rId25" tooltip="Website Link" xr:uid="{00000000-0004-0000-0500-000018000000}"/>
    <hyperlink ref="H18" r:id="rId26" tooltip="Website Link" xr:uid="{00000000-0004-0000-0500-000019000000}"/>
    <hyperlink ref="H17" r:id="rId27" tooltip="Website Link" xr:uid="{00000000-0004-0000-0500-00001A000000}"/>
    <hyperlink ref="H16" r:id="rId28" tooltip="Website Link" xr:uid="{00000000-0004-0000-0500-00001B000000}"/>
    <hyperlink ref="H15" r:id="rId29" tooltip="Website Link" xr:uid="{00000000-0004-0000-0500-00001C000000}"/>
    <hyperlink ref="H14" r:id="rId30" tooltip="Website Link" xr:uid="{00000000-0004-0000-0500-00001D000000}"/>
    <hyperlink ref="H13" r:id="rId31" tooltip="Website Link" xr:uid="{00000000-0004-0000-0500-00001E000000}"/>
    <hyperlink ref="H12" r:id="rId32" tooltip="Website Link" xr:uid="{00000000-0004-0000-0500-00001F000000}"/>
    <hyperlink ref="H11" r:id="rId33" tooltip="Website Link" xr:uid="{00000000-0004-0000-0500-000020000000}"/>
  </hyperlinks>
  <pageMargins left="0.7" right="0.7" top="0.75" bottom="0.75" header="0.3" footer="0.3"/>
  <pageSetup orientation="portrait"/>
  <drawing r:id="rId34"/>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6</vt:i4>
      </vt:variant>
      <vt:variant>
        <vt:lpstr>Named Ranges</vt:lpstr>
      </vt:variant>
      <vt:variant>
        <vt:i4>1449</vt:i4>
      </vt:variant>
    </vt:vector>
  </HeadingPairs>
  <TitlesOfParts>
    <vt:vector size="1455" baseType="lpstr">
      <vt:lpstr>Front Page</vt:lpstr>
      <vt:lpstr>Model</vt:lpstr>
      <vt:lpstr>Supplemental Data</vt:lpstr>
      <vt:lpstr>Guidance</vt:lpstr>
      <vt:lpstr>Summary Page</vt:lpstr>
      <vt:lpstr>Update Log</vt:lpstr>
      <vt:lpstr>FP.DataSource</vt:lpstr>
      <vt:lpstr>FP.DataSourceName</vt:lpstr>
      <vt:lpstr>FP.Disclaimer</vt:lpstr>
      <vt:lpstr>FP.LastPrice</vt:lpstr>
      <vt:lpstr>FP.LastPriceDate</vt:lpstr>
      <vt:lpstr>FP.RealTimeToggle</vt:lpstr>
      <vt:lpstr>FP.UpdateDate</vt:lpstr>
      <vt:lpstr>FP.UpdateEvent</vt:lpstr>
      <vt:lpstr>FP_Comment</vt:lpstr>
      <vt:lpstr>FP_StockPriceOverride</vt:lpstr>
      <vt:lpstr>GD.CompanyName</vt:lpstr>
      <vt:lpstr>GD.MRQ</vt:lpstr>
      <vt:lpstr>GD_Difference_Mid_Absolute</vt:lpstr>
      <vt:lpstr>GD_Difference_Mid_Relative</vt:lpstr>
      <vt:lpstr>GD_Guidance_High</vt:lpstr>
      <vt:lpstr>GD_Guidance_Low</vt:lpstr>
      <vt:lpstr>GD_Guidance_Mid</vt:lpstr>
      <vt:lpstr>GD_Header_Column</vt:lpstr>
      <vt:lpstr>GD_Header_Section</vt:lpstr>
      <vt:lpstr>GD_Index</vt:lpstr>
      <vt:lpstr>GD_Item</vt:lpstr>
      <vt:lpstr>GD_Item_FiscalPeriod</vt:lpstr>
      <vt:lpstr>GD_Item_Name</vt:lpstr>
      <vt:lpstr>GD_Model_Output</vt:lpstr>
      <vt:lpstr>GD_Model_Type</vt:lpstr>
      <vt:lpstr>GD_Type</vt:lpstr>
      <vt:lpstr>GD_Update_Date</vt:lpstr>
      <vt:lpstr>GD_Update_Link</vt:lpstr>
      <vt:lpstr>HP.MRFX</vt:lpstr>
      <vt:lpstr>HP.ReportCurrency</vt:lpstr>
      <vt:lpstr>HP.Ticker</vt:lpstr>
      <vt:lpstr>HP.TradeCurrency</vt:lpstr>
      <vt:lpstr>HP.TradeCurrency.HardCoded</vt:lpstr>
      <vt:lpstr>MO.CFY</vt:lpstr>
      <vt:lpstr>MO.CompanyName</vt:lpstr>
      <vt:lpstr>MO.DataSourceIndex</vt:lpstr>
      <vt:lpstr>MO.DataSourceName</vt:lpstr>
      <vt:lpstr>MO.FirstForecastedFiscalYear</vt:lpstr>
      <vt:lpstr>MO.LastPrice</vt:lpstr>
      <vt:lpstr>MO.LastPriceDate</vt:lpstr>
      <vt:lpstr>MO.LastPriceFormula</vt:lpstr>
      <vt:lpstr>MO.LastPriceHardcoded</vt:lpstr>
      <vt:lpstr>MO.MRFP</vt:lpstr>
      <vt:lpstr>MO.MRFPColumnNumber</vt:lpstr>
      <vt:lpstr>MO.MRFX.Hardcoded</vt:lpstr>
      <vt:lpstr>MO.RealTime</vt:lpstr>
      <vt:lpstr>MO.RealTimeStockPriceToggle</vt:lpstr>
      <vt:lpstr>MO.ReportCurrency</vt:lpstr>
      <vt:lpstr>MO.ReportFX</vt:lpstr>
      <vt:lpstr>MO.Ticker</vt:lpstr>
      <vt:lpstr>MO.Ticker.Bloomberg</vt:lpstr>
      <vt:lpstr>MO.Ticker.CapIQ</vt:lpstr>
      <vt:lpstr>MO.Ticker.FactSet</vt:lpstr>
      <vt:lpstr>MO.Ticker.Thomson</vt:lpstr>
      <vt:lpstr>MO.TradingCurrency</vt:lpstr>
      <vt:lpstr>MO.ValuationToggle</vt:lpstr>
      <vt:lpstr>MO_AN_NI_NONGAAP_Diluted</vt:lpstr>
      <vt:lpstr>MO_BS_AP</vt:lpstr>
      <vt:lpstr>MO_BS_AR</vt:lpstr>
      <vt:lpstr>MO_BS_CA</vt:lpstr>
      <vt:lpstr>MO_BS_Cash</vt:lpstr>
      <vt:lpstr>MO_BS_CL</vt:lpstr>
      <vt:lpstr>MO_BS_CommonStock</vt:lpstr>
      <vt:lpstr>MO_BS_ContributedSurplus</vt:lpstr>
      <vt:lpstr>MO_BS_DefRev</vt:lpstr>
      <vt:lpstr>MO_BS_DefRev_NonCurrent</vt:lpstr>
      <vt:lpstr>MO_BS_Goodwill</vt:lpstr>
      <vt:lpstr>MO_BS_Intangibles</vt:lpstr>
      <vt:lpstr>MO_BS_INV</vt:lpstr>
      <vt:lpstr>MO_BS_NCA</vt:lpstr>
      <vt:lpstr>MO_BS_NCI</vt:lpstr>
      <vt:lpstr>MO_BS_NCL</vt:lpstr>
      <vt:lpstr>MO_BS_OCI</vt:lpstr>
      <vt:lpstr>MO_BS_PPE</vt:lpstr>
      <vt:lpstr>MO_BS_PrepaidExpensesAndOther</vt:lpstr>
      <vt:lpstr>MO_BS_RestrictedCash_Current</vt:lpstr>
      <vt:lpstr>MO_BS_RestrictedCash_NonCurrent</vt:lpstr>
      <vt:lpstr>MO_BS_RetainedEarnings</vt:lpstr>
      <vt:lpstr>MO_BS_SE</vt:lpstr>
      <vt:lpstr>MO_BS_STInvestments</vt:lpstr>
      <vt:lpstr>MO_BS_TA</vt:lpstr>
      <vt:lpstr>MO_BS_TaxLiabilities_Deferred_Current</vt:lpstr>
      <vt:lpstr>MO_BS_TL</vt:lpstr>
      <vt:lpstr>MO_BS_TLSE</vt:lpstr>
      <vt:lpstr>MO_BSS_Cash</vt:lpstr>
      <vt:lpstr>MO_BSS_Debt</vt:lpstr>
      <vt:lpstr>MO_BSS_Debt_LT</vt:lpstr>
      <vt:lpstr>MO_BSS_Debt_Net</vt:lpstr>
      <vt:lpstr>MO_BSS_Debt_ST</vt:lpstr>
      <vt:lpstr>MO_BSS_Debt_ToCF</vt:lpstr>
      <vt:lpstr>MO_BSS_Debt_ToEBITDA</vt:lpstr>
      <vt:lpstr>MO_BSS_IE</vt:lpstr>
      <vt:lpstr>MO_BSS_IE_Net</vt:lpstr>
      <vt:lpstr>MO_BSS_II</vt:lpstr>
      <vt:lpstr>MO_BSS_InterestRate_Cash</vt:lpstr>
      <vt:lpstr>MO_BSS_InterestRate_Debt</vt:lpstr>
      <vt:lpstr>MO_BSS_NetInterestCoverage</vt:lpstr>
      <vt:lpstr>MO_BSS_NetInterestRate_Debt</vt:lpstr>
      <vt:lpstr>MO_CCFS_Balance_Begin</vt:lpstr>
      <vt:lpstr>MO_CCFS_Balance_End</vt:lpstr>
      <vt:lpstr>MO_CCFS_CFF</vt:lpstr>
      <vt:lpstr>MO_CCFS_CFI</vt:lpstr>
      <vt:lpstr>MO_CCFS_CFO</vt:lpstr>
      <vt:lpstr>MO_CCFS_CFO_BeforeWC</vt:lpstr>
      <vt:lpstr>MO_CCFS_FX</vt:lpstr>
      <vt:lpstr>MO_CCFS_NetChange</vt:lpstr>
      <vt:lpstr>MO_CCFS_Sup_CashInterest</vt:lpstr>
      <vt:lpstr>MO_CCFS_Sup_CashTax</vt:lpstr>
      <vt:lpstr>MO_CFS_Balance_Begin</vt:lpstr>
      <vt:lpstr>MO_CFS_Balance_End</vt:lpstr>
      <vt:lpstr>MO_CFS_Buyback</vt:lpstr>
      <vt:lpstr>MO_CFS_CFF</vt:lpstr>
      <vt:lpstr>MO_CFS_CFI</vt:lpstr>
      <vt:lpstr>MO_CFS_CFO</vt:lpstr>
      <vt:lpstr>MO_CFS_CFO_BeforeWC</vt:lpstr>
      <vt:lpstr>MO_CFS_FX</vt:lpstr>
      <vt:lpstr>MO_CFS_NetChange</vt:lpstr>
      <vt:lpstr>MO_CFS_NI</vt:lpstr>
      <vt:lpstr>MO_CFS_SBC</vt:lpstr>
      <vt:lpstr>MO_CFS_Sup_CashInterest</vt:lpstr>
      <vt:lpstr>MO_CFS_Sup_CashTax</vt:lpstr>
      <vt:lpstr>MO_CFSum_Acquisition</vt:lpstr>
      <vt:lpstr>MO_CFSum_Capex</vt:lpstr>
      <vt:lpstr>MO_CFSum_CFO_BeforeWC</vt:lpstr>
      <vt:lpstr>MO_CFSum_CFPS</vt:lpstr>
      <vt:lpstr>MO_CFSum_Divestiture</vt:lpstr>
      <vt:lpstr>MO_CFSum_Dividend</vt:lpstr>
      <vt:lpstr>MO_CFSum_DPS</vt:lpstr>
      <vt:lpstr>MO_CFSum_FCF_PostDivPostAD</vt:lpstr>
      <vt:lpstr>MO_CFSum_FCF_PostDivPostADPostDebtPostBuyback</vt:lpstr>
      <vt:lpstr>MO_CFSum_FCF_PostDivPreAD</vt:lpstr>
      <vt:lpstr>MO_CFSum_FCF_PreDiv</vt:lpstr>
      <vt:lpstr>MO_CFSum_NetDebtIssuance</vt:lpstr>
      <vt:lpstr>MO_CFSum_NetShares</vt:lpstr>
      <vt:lpstr>MO_CFSum_NetShares_Price</vt:lpstr>
      <vt:lpstr>MO_Checks_Bottom</vt:lpstr>
      <vt:lpstr>MO_Checks_BS</vt:lpstr>
      <vt:lpstr>MO_Checks_CF</vt:lpstr>
      <vt:lpstr>MO_Checks_IS</vt:lpstr>
      <vt:lpstr>MO_Common_Column_A</vt:lpstr>
      <vt:lpstr>MO_Common_Column_B</vt:lpstr>
      <vt:lpstr>MO_Common_ColumnHeader</vt:lpstr>
      <vt:lpstr>MO_Common_CompanySubtitle</vt:lpstr>
      <vt:lpstr>MO_Common_CompanyTitle</vt:lpstr>
      <vt:lpstr>MO_Common_FPDays</vt:lpstr>
      <vt:lpstr>MO_Common_QEndDate</vt:lpstr>
      <vt:lpstr>MO_DAF_A</vt:lpstr>
      <vt:lpstr>MO_DAF_A_Percentage</vt:lpstr>
      <vt:lpstr>MO_DAF_Capex</vt:lpstr>
      <vt:lpstr>MO_DAF_D</vt:lpstr>
      <vt:lpstr>MO_DAF_D_Percentage</vt:lpstr>
      <vt:lpstr>MO_DAF_DA</vt:lpstr>
      <vt:lpstr>MO_DAF_Intangibles_BoP</vt:lpstr>
      <vt:lpstr>MO_DAF_Intangibles_Capex</vt:lpstr>
      <vt:lpstr>MO_DAF_Intangibles_Capex_Percent</vt:lpstr>
      <vt:lpstr>MO_DAF_Intangibles_EoP</vt:lpstr>
      <vt:lpstr>MO_DAF_Intangibles_Life</vt:lpstr>
      <vt:lpstr>MO_DAF_Intangibles_Other</vt:lpstr>
      <vt:lpstr>MO_DAF_PPE_BoP</vt:lpstr>
      <vt:lpstr>MO_DAF_PPE_Capex</vt:lpstr>
      <vt:lpstr>MO_DAF_PPE_EoP</vt:lpstr>
      <vt:lpstr>MO_DAF_PPE_Life</vt:lpstr>
      <vt:lpstr>MO_DAF_PPE_Other</vt:lpstr>
      <vt:lpstr>MO_IS_EBIT</vt:lpstr>
      <vt:lpstr>MO_IS_EBT</vt:lpstr>
      <vt:lpstr>MO_IS_FirstRow</vt:lpstr>
      <vt:lpstr>MO_IS_GP</vt:lpstr>
      <vt:lpstr>MO_IS_NI_ContinOp</vt:lpstr>
      <vt:lpstr>MO_IS_REV</vt:lpstr>
      <vt:lpstr>MO_MA_COGS</vt:lpstr>
      <vt:lpstr>MO_MA_COGS_DA_Excluding</vt:lpstr>
      <vt:lpstr>MO_MA_DA</vt:lpstr>
      <vt:lpstr>MO_MA_EBIT</vt:lpstr>
      <vt:lpstr>MO_MA_EBIT_Adj</vt:lpstr>
      <vt:lpstr>MO_MA_EBITDA</vt:lpstr>
      <vt:lpstr>MO_MA_EBITDA_Adj</vt:lpstr>
      <vt:lpstr>MO_MA_GM</vt:lpstr>
      <vt:lpstr>MO_MA_GM_DA_Excluding</vt:lpstr>
      <vt:lpstr>MO_MA_RD</vt:lpstr>
      <vt:lpstr>MO_MA_SBC</vt:lpstr>
      <vt:lpstr>MO_MA_SGA</vt:lpstr>
      <vt:lpstr>MO_OS_REV_Automotive</vt:lpstr>
      <vt:lpstr>MO_OS_REV_FinanceInsurance</vt:lpstr>
      <vt:lpstr>MO_OS_Unit_Price</vt:lpstr>
      <vt:lpstr>MO_OS_Unit_Price_Growth</vt:lpstr>
      <vt:lpstr>MO_OS_Unit_Volume</vt:lpstr>
      <vt:lpstr>MO_OS_Vehicle_Production</vt:lpstr>
      <vt:lpstr>MO_RIS_Adjustments_Dilution_GAAP</vt:lpstr>
      <vt:lpstr>MO_RIS_Adjustments_Dilution_NONGAAP</vt:lpstr>
      <vt:lpstr>MO_RIS_Adjustments_NONGAAP</vt:lpstr>
      <vt:lpstr>MO_RIS_COGS</vt:lpstr>
      <vt:lpstr>MO_RIS_DA</vt:lpstr>
      <vt:lpstr>MO_RIS_DisCont</vt:lpstr>
      <vt:lpstr>MO_RIS_Dividend_Prefs</vt:lpstr>
      <vt:lpstr>MO_RIS_EBIT</vt:lpstr>
      <vt:lpstr>MO_RIS_EBIT_Adj</vt:lpstr>
      <vt:lpstr>MO_RIS_EBITDA</vt:lpstr>
      <vt:lpstr>MO_RIS_EBITDA_Adj</vt:lpstr>
      <vt:lpstr>MO_RIS_EBT</vt:lpstr>
      <vt:lpstr>MO_RIS_EPS_WAB</vt:lpstr>
      <vt:lpstr>MO_RIS_EPS_WAD</vt:lpstr>
      <vt:lpstr>MO_RIS_EPS_WAD_Adj</vt:lpstr>
      <vt:lpstr>MO_RIS_GP</vt:lpstr>
      <vt:lpstr>MO_RIS_IE</vt:lpstr>
      <vt:lpstr>MO_RIS_II</vt:lpstr>
      <vt:lpstr>MO_RIS_NCI</vt:lpstr>
      <vt:lpstr>MO_RIS_NI_ContinOp</vt:lpstr>
      <vt:lpstr>MO_RIS_NI_GAAP_Basic</vt:lpstr>
      <vt:lpstr>MO_RIS_NI_GAAP_Diluted</vt:lpstr>
      <vt:lpstr>MO_RIS_NI_NONGAAP_Diluted</vt:lpstr>
      <vt:lpstr>MO_RIS_OI</vt:lpstr>
      <vt:lpstr>MO_RIS_OTI</vt:lpstr>
      <vt:lpstr>MO_RIS_OTI_Operating</vt:lpstr>
      <vt:lpstr>MO_RIS_RD</vt:lpstr>
      <vt:lpstr>MO_RIS_REV</vt:lpstr>
      <vt:lpstr>MO_RIS_SBC</vt:lpstr>
      <vt:lpstr>MO_RIS_SGA</vt:lpstr>
      <vt:lpstr>MO_RIS_ShareCount_WAB</vt:lpstr>
      <vt:lpstr>MO_RIS_ShareCount_WAD</vt:lpstr>
      <vt:lpstr>MO_RIS_ShareCount_WAD_Adj</vt:lpstr>
      <vt:lpstr>MO_RIS_Tax_Current</vt:lpstr>
      <vt:lpstr>MO_RIS_Tax_Deferred</vt:lpstr>
      <vt:lpstr>MO_RIS_TaxRate_Current</vt:lpstr>
      <vt:lpstr>MO_RIS_TaxRate_Deferred</vt:lpstr>
      <vt:lpstr>MO_Section_AdjustedNumbers</vt:lpstr>
      <vt:lpstr>MO_Section_BalanceSheet</vt:lpstr>
      <vt:lpstr>MO_Section_BalanceSheetSummary</vt:lpstr>
      <vt:lpstr>MO_Section_Canalyst</vt:lpstr>
      <vt:lpstr>MO_Section_CashFlowStatement</vt:lpstr>
      <vt:lpstr>MO_Section_CashFlowSummary</vt:lpstr>
      <vt:lpstr>MO_Section_CumulativeCashFlowStatement</vt:lpstr>
      <vt:lpstr>MO_Section_DAForecasting</vt:lpstr>
      <vt:lpstr>MO_Section_IncomeStatement</vt:lpstr>
      <vt:lpstr>MO_Section_KeyMetricsAccruedWarrantyFS</vt:lpstr>
      <vt:lpstr>MO_Section_KeyMetricsDetailedAccountActivityrelatedtoResaleValueGuaranteeProgramandLeaseMDA</vt:lpstr>
      <vt:lpstr>MO_Section_KeyMetricsHistorical</vt:lpstr>
      <vt:lpstr>MO_Section_KeyMetricsLeaseCostandRentExpenseFS</vt:lpstr>
      <vt:lpstr>MO_Section_KeyMetricsLeasedVehiclesDeliveredHistorical</vt:lpstr>
      <vt:lpstr>MO_Section_KeyMetricsRevenueBreakdownbyGeographyFS</vt:lpstr>
      <vt:lpstr>MO_Section_KeyMetricsSolarCitySegmentHistorical</vt:lpstr>
      <vt:lpstr>MO_Section_KeyMetricsSupportNetworkPR</vt:lpstr>
      <vt:lpstr>MO_Section_LastRow</vt:lpstr>
      <vt:lpstr>MO_Section_MarginAnalysis</vt:lpstr>
      <vt:lpstr>MO_Section_ModelChecks</vt:lpstr>
      <vt:lpstr>MO_Section_OperatingExpenseForecasting</vt:lpstr>
      <vt:lpstr>MO_Section_OperatingStatsAutomotiveDeliveriesPR</vt:lpstr>
      <vt:lpstr>MO_Section_OperatingStatsAutomotiveLeaseMDA</vt:lpstr>
      <vt:lpstr>MO_Section_OperatingStatsEnergyGenerationandStorageMDA</vt:lpstr>
      <vt:lpstr>MO_Section_OperatingStatsProductionandCapacityPR</vt:lpstr>
      <vt:lpstr>MO_Section_RevisedIncomeStatement</vt:lpstr>
      <vt:lpstr>MO_Section_SBCDABreakdownFSPR</vt:lpstr>
      <vt:lpstr>MO_Section_SegmentedResultsBreakdownFS</vt:lpstr>
      <vt:lpstr>MO_Section_SegmentedResultsRevenueBreakdownbyGeographyHistorical</vt:lpstr>
      <vt:lpstr>MO_Section_SegmentedResultsServicesandOtherFSPR</vt:lpstr>
      <vt:lpstr>MO_Section_SegmentSummary</vt:lpstr>
      <vt:lpstr>MO_Section_Tables</vt:lpstr>
      <vt:lpstr>MO_Section_Valuation</vt:lpstr>
      <vt:lpstr>MO_Section_WorkingCapitalForecasting</vt:lpstr>
      <vt:lpstr>MO_SNA_ConsensusEstimatePeriodNumber</vt:lpstr>
      <vt:lpstr>MO_SNA_ConsensusEstimatePeriodType</vt:lpstr>
      <vt:lpstr>MO_SNA_FPStartDate</vt:lpstr>
      <vt:lpstr>MO_SNA_IsHistoricalPeriod</vt:lpstr>
      <vt:lpstr>MO_SNA_LastDataRow</vt:lpstr>
      <vt:lpstr>MO_SPT_FXAverage</vt:lpstr>
      <vt:lpstr>MO_SPT_FXAverage_Sources</vt:lpstr>
      <vt:lpstr>MO_SPT_FXAverage_Sources_Bloomberg</vt:lpstr>
      <vt:lpstr>MO_SPT_FXAverage_Sources_CapIQ</vt:lpstr>
      <vt:lpstr>MO_SPT_FXAverage_Sources_FactSet</vt:lpstr>
      <vt:lpstr>MO_SPT_FXAverage_Sources_RealTimeOff</vt:lpstr>
      <vt:lpstr>MO_SPT_FXAverage_Sources_Thomson</vt:lpstr>
      <vt:lpstr>MO_SPT_StockAverage</vt:lpstr>
      <vt:lpstr>MO_SPT_StockAverage_Sources</vt:lpstr>
      <vt:lpstr>MO_SPT_StockAverage_Sources_Bloomberg</vt:lpstr>
      <vt:lpstr>MO_SPT_StockAverage_Sources_CapIQ</vt:lpstr>
      <vt:lpstr>MO_SPT_StockAverage_Sources_FactSet</vt:lpstr>
      <vt:lpstr>MO_SPT_StockAverage_Sources_RealTimeOff</vt:lpstr>
      <vt:lpstr>MO_SPT_StockAverage_Sources_Thomson</vt:lpstr>
      <vt:lpstr>MO_SPT_StockHigh</vt:lpstr>
      <vt:lpstr>MO_SPT_StockHigh_Sources</vt:lpstr>
      <vt:lpstr>MO_SPT_StockHigh_Sources_Bloomberg</vt:lpstr>
      <vt:lpstr>MO_SPT_StockHigh_Sources_CapIQ</vt:lpstr>
      <vt:lpstr>MO_SPT_StockHigh_Sources_FactSet</vt:lpstr>
      <vt:lpstr>MO_SPT_StockHigh_Sources_RealTimeOff</vt:lpstr>
      <vt:lpstr>MO_SPT_StockHigh_Sources_Thomson</vt:lpstr>
      <vt:lpstr>MO_SPT_StockLow</vt:lpstr>
      <vt:lpstr>MO_SPT_StockLow_Sources</vt:lpstr>
      <vt:lpstr>MO_SPT_StockLow_Sources_Bloomberg</vt:lpstr>
      <vt:lpstr>MO_SPT_StockLow_Sources_CapIQ</vt:lpstr>
      <vt:lpstr>MO_SPT_StockLow_Sources_FactSet</vt:lpstr>
      <vt:lpstr>MO_SPT_StockLow_Sources_RealTimeOff</vt:lpstr>
      <vt:lpstr>MO_SPT_StockLow_Sources_Thomson</vt:lpstr>
      <vt:lpstr>MO_SubSection_BS_CA</vt:lpstr>
      <vt:lpstr>MO_SubSection_BS_CL</vt:lpstr>
      <vt:lpstr>MO_SubSection_BS_NCA</vt:lpstr>
      <vt:lpstr>MO_SubSection_BS_NCL</vt:lpstr>
      <vt:lpstr>MO_SubSection_BS_SE</vt:lpstr>
      <vt:lpstr>MO_SubSection_CCFS_CFF</vt:lpstr>
      <vt:lpstr>MO_SubSection_CCFS_CFI</vt:lpstr>
      <vt:lpstr>MO_SubSection_CCFS_CFO</vt:lpstr>
      <vt:lpstr>MO_SubSection_CFS_CFF</vt:lpstr>
      <vt:lpstr>MO_SubSection_CFS_CFI</vt:lpstr>
      <vt:lpstr>MO_SubSection_CFS_CFO</vt:lpstr>
      <vt:lpstr>MO_VA_EV</vt:lpstr>
      <vt:lpstr>MO_VA_EV_ToEBITDA</vt:lpstr>
      <vt:lpstr>MO_VA_EV_ToSales</vt:lpstr>
      <vt:lpstr>MO_VA_EVCalc_NCI</vt:lpstr>
      <vt:lpstr>MO_VA_EVCalc_Other</vt:lpstr>
      <vt:lpstr>MO_VA_EVCalc_Prefs</vt:lpstr>
      <vt:lpstr>MO_VA_FCFYield_ToEV</vt:lpstr>
      <vt:lpstr>MO_VA_FCFYield_ToMktCap</vt:lpstr>
      <vt:lpstr>MO_VA_FX_Average</vt:lpstr>
      <vt:lpstr>MO_VA_MarketCap</vt:lpstr>
      <vt:lpstr>MO_VA_P_ToCF</vt:lpstr>
      <vt:lpstr>MO_VA_P_ToE</vt:lpstr>
      <vt:lpstr>MO_VA_StockPrice</vt:lpstr>
      <vt:lpstr>MO_VA_StockPrice_Avg</vt:lpstr>
      <vt:lpstr>MO_VA_StockPrice_High</vt:lpstr>
      <vt:lpstr>MO_VA_StockPrice_Low</vt:lpstr>
      <vt:lpstr>MO_VA_StockPrice_TradingCurrency</vt:lpstr>
      <vt:lpstr>Model!Print_Area</vt:lpstr>
      <vt:lpstr>'Summary Page'!Print_Area</vt:lpstr>
      <vt:lpstr>Model!Print_Titles</vt:lpstr>
      <vt:lpstr>SP.CompanyName</vt:lpstr>
      <vt:lpstr>SP.ReportFX</vt:lpstr>
      <vt:lpstr>SP.ValuationToggle</vt:lpstr>
      <vt:lpstr>SP_BSR_Capital</vt:lpstr>
      <vt:lpstr>SP_BSR_CashFlow</vt:lpstr>
      <vt:lpstr>SP_BSR_CashFlow_LTM</vt:lpstr>
      <vt:lpstr>SP_BSR_CL</vt:lpstr>
      <vt:lpstr>SP_BSR_CL_Avg</vt:lpstr>
      <vt:lpstr>SP_BSR_Debt</vt:lpstr>
      <vt:lpstr>SP_BSR_Debt_Avg</vt:lpstr>
      <vt:lpstr>SP_BSR_EBITDA</vt:lpstr>
      <vt:lpstr>SP_BSR_EBITDA_LTM</vt:lpstr>
      <vt:lpstr>SP_BSR_SE</vt:lpstr>
      <vt:lpstr>SP_BSR_SE_Avg</vt:lpstr>
      <vt:lpstr>SP_BSR_TA</vt:lpstr>
      <vt:lpstr>SP_BSR_TA_Avg</vt:lpstr>
      <vt:lpstr>SP_CFA_Acquisition</vt:lpstr>
      <vt:lpstr>SP_CFA_Capex</vt:lpstr>
      <vt:lpstr>SP_CFA_CFO_BeforeWC</vt:lpstr>
      <vt:lpstr>SP_CFA_CFO_PerShare</vt:lpstr>
      <vt:lpstr>SP_CFA_Debt</vt:lpstr>
      <vt:lpstr>SP_CFA_Div</vt:lpstr>
      <vt:lpstr>SP_CFA_Div_PerShare</vt:lpstr>
      <vt:lpstr>SP_CFA_Divestiture</vt:lpstr>
      <vt:lpstr>SP_CFA_Equity</vt:lpstr>
      <vt:lpstr>SP_CFA_FCF_PerShare</vt:lpstr>
      <vt:lpstr>SP_CFA_FCF_PostDiv</vt:lpstr>
      <vt:lpstr>SP_CFA_FCF_PreDiv</vt:lpstr>
      <vt:lpstr>SP_CFA_NetChange</vt:lpstr>
      <vt:lpstr>SP_CFA_Other</vt:lpstr>
      <vt:lpstr>SP_CFA_Payout_vsEPS</vt:lpstr>
      <vt:lpstr>SP_CFA_Payout_vsFCF</vt:lpstr>
      <vt:lpstr>SP_CFA_WC</vt:lpstr>
      <vt:lpstr>SP_Checks_SummaryPage</vt:lpstr>
      <vt:lpstr>SP_Common_Column_A</vt:lpstr>
      <vt:lpstr>SP_Common_Column_B</vt:lpstr>
      <vt:lpstr>SP_Common_ColumnHeader</vt:lpstr>
      <vt:lpstr>SP_Common_QEndDate</vt:lpstr>
      <vt:lpstr>SP_CS_Cash</vt:lpstr>
      <vt:lpstr>SP_CS_Debt</vt:lpstr>
      <vt:lpstr>SP_CS_EV</vt:lpstr>
      <vt:lpstr>SP_CS_EVCalc_Other</vt:lpstr>
      <vt:lpstr>SP_CS_MarketCap</vt:lpstr>
      <vt:lpstr>SP_CS_ShareCount</vt:lpstr>
      <vt:lpstr>SP_CS_StockPrice</vt:lpstr>
      <vt:lpstr>SP_GF_COGS</vt:lpstr>
      <vt:lpstr>SP_GF_DisCont</vt:lpstr>
      <vt:lpstr>SP_GF_Div_Prefs</vt:lpstr>
      <vt:lpstr>SP_GF_EBIT</vt:lpstr>
      <vt:lpstr>SP_GF_EBT</vt:lpstr>
      <vt:lpstr>SP_GF_EPS_GAAP</vt:lpstr>
      <vt:lpstr>SP_GF_IE</vt:lpstr>
      <vt:lpstr>SP_GF_IE_Net</vt:lpstr>
      <vt:lpstr>SP_GF_NCI</vt:lpstr>
      <vt:lpstr>SP_GF_NI</vt:lpstr>
      <vt:lpstr>SP_GF_OI</vt:lpstr>
      <vt:lpstr>SP_GF_OTI_Operating</vt:lpstr>
      <vt:lpstr>SP_GF_RD</vt:lpstr>
      <vt:lpstr>SP_GF_Rev</vt:lpstr>
      <vt:lpstr>SP_GF_SGA</vt:lpstr>
      <vt:lpstr>SP_GF_Tax</vt:lpstr>
      <vt:lpstr>SP_MA_COGS</vt:lpstr>
      <vt:lpstr>SP_MA_EBIT</vt:lpstr>
      <vt:lpstr>SP_MA_EBIT_Adj</vt:lpstr>
      <vt:lpstr>SP_MA_EBITDA</vt:lpstr>
      <vt:lpstr>SP_MA_EBITDA_Adj</vt:lpstr>
      <vt:lpstr>SP_MA_RD</vt:lpstr>
      <vt:lpstr>SP_MA_SBC</vt:lpstr>
      <vt:lpstr>SP_MA_SGA</vt:lpstr>
      <vt:lpstr>SP_NGF_EBIT</vt:lpstr>
      <vt:lpstr>SP_NGF_EBITDA</vt:lpstr>
      <vt:lpstr>SP_NGF_EPS</vt:lpstr>
      <vt:lpstr>SP_NGF_NI</vt:lpstr>
      <vt:lpstr>SP_PR_ROA</vt:lpstr>
      <vt:lpstr>SP_PR_ROCE</vt:lpstr>
      <vt:lpstr>SP_PR_ROE</vt:lpstr>
      <vt:lpstr>SP_PR_ROIC</vt:lpstr>
      <vt:lpstr>SP_PSGM_CFO</vt:lpstr>
      <vt:lpstr>SP_PSGM_EBITDA_Adj</vt:lpstr>
      <vt:lpstr>SP_PSGM_FCF</vt:lpstr>
      <vt:lpstr>SP_PSGM_NI_Adj</vt:lpstr>
      <vt:lpstr>SP_PSGM_Revenue</vt:lpstr>
      <vt:lpstr>SP_Section_BalanceSheetRatios</vt:lpstr>
      <vt:lpstr>SP_Section_CapitalizationSummary</vt:lpstr>
      <vt:lpstr>SP_Section_CashFlowAnalysis</vt:lpstr>
      <vt:lpstr>SP_Section_Checks</vt:lpstr>
      <vt:lpstr>SP_Section_CompanySpecificOperationalData</vt:lpstr>
      <vt:lpstr>SP_Section_GAAPFinancials</vt:lpstr>
      <vt:lpstr>SP_Section_LastRow</vt:lpstr>
      <vt:lpstr>SP_Section_MarginAnalysis</vt:lpstr>
      <vt:lpstr>SP_Section_NonGAAPFinancials</vt:lpstr>
      <vt:lpstr>SP_Section_PerShareGrowthMetrics</vt:lpstr>
      <vt:lpstr>SP_Section_ProfitabilityRatios</vt:lpstr>
      <vt:lpstr>SP_Section_ValuationMetrics</vt:lpstr>
      <vt:lpstr>SP_VM_EV_ToEBITDA</vt:lpstr>
      <vt:lpstr>SP_VM_EV_ToSales</vt:lpstr>
      <vt:lpstr>SP_VM_FCFYield_ToEV</vt:lpstr>
      <vt:lpstr>SP_VM_FCFYield_ToMktCap</vt:lpstr>
      <vt:lpstr>SP_VM_P_ToCF</vt:lpstr>
      <vt:lpstr>SP_VM_P_ToE</vt:lpstr>
      <vt:lpstr>tb_ConsensusEstimate</vt:lpstr>
      <vt:lpstr>tb_EntireModel</vt:lpstr>
      <vt:lpstr>tb_KeyOutputs</vt:lpstr>
      <vt:lpstr>tb_StockPrice</vt:lpstr>
      <vt:lpstr>tb_Tickers</vt:lpstr>
      <vt:lpstr>tb_UpdateLog</vt:lpstr>
      <vt:lpstr>tb_ValuationToggle</vt:lpstr>
      <vt:lpstr>UL.CSIN</vt:lpstr>
      <vt:lpstr>UL.ModelVersion</vt:lpstr>
      <vt:lpstr>UL.MRQ</vt:lpstr>
      <vt:lpstr>UL.MRQColNum</vt:lpstr>
      <vt:lpstr>'Supplemental Data'!WS_ColumnHeader</vt:lpstr>
      <vt:lpstr>'Supplemental Data'!WS_LastRow</vt:lpstr>
      <vt:lpstr>'Supplemental Data'!WS_PeriodMetadata_FPDays</vt:lpstr>
      <vt:lpstr>'Supplemental Data'!WS_PeriodMetadata_PAnnotation</vt:lpstr>
      <vt:lpstr>'Supplemental Data'!WS_PeriodMetadata_PEndDate</vt:lpstr>
      <vt:lpstr>'Supplemental Data'!WS_RowTitle</vt:lpstr>
      <vt:lpstr>'Supplemental Data'!WS_WorkingRange_FirstColumn</vt:lpstr>
      <vt:lpstr>'Supplemental Data'!WS_WorkingRange_FirstRow</vt:lpstr>
      <vt:lpstr>'Supplemental Data'!WS_WorkingRange_LastColumn</vt:lpstr>
      <vt:lpstr>'Supplemental Data'!WS_WorkingRange_LastRow</vt:lpstr>
      <vt:lpstr>z_GMEG0H0133_MO_AN_Acquisitionrelatedtransactioncosts</vt:lpstr>
      <vt:lpstr>z_GMEG0H0133_MO_AN_Amortizationofintangibles</vt:lpstr>
      <vt:lpstr>z_GMEG0H0133_MO_AN_Amortizationofsolarenergysystems</vt:lpstr>
      <vt:lpstr>z_GMEG0H0133_MO_AN_automotivegrossprofit</vt:lpstr>
      <vt:lpstr>z_GMEG0H0133_MO_AN_automotivegrossprofitexcludingsbcandzevcredit</vt:lpstr>
      <vt:lpstr>z_GMEG0H0133_MO_AN_changeinfairvalueofwarrantliability</vt:lpstr>
      <vt:lpstr>z_GMEG0H0133_MO_AN_Depreciationexpense</vt:lpstr>
      <vt:lpstr>z_GMEG0H0133_MO_AN_Dilutiveconvertibledebt</vt:lpstr>
      <vt:lpstr>z_GMEG0H0133_MO_AN_GainlossadjustmentrelatingtocashpaidtostakeholdersofNCI</vt:lpstr>
      <vt:lpstr>z_GMEG0H0133_MO_AN_LossesrelatedtotheSolarCityacquisition</vt:lpstr>
      <vt:lpstr>z_GMEG0H0133_MO_AN_modelsandmodelxgrossprofitdeferredduetoleaseaccounting</vt:lpstr>
      <vt:lpstr>z_GMEG0H0133_MO_AN_netloss</vt:lpstr>
      <vt:lpstr>z_GMEG0H0133_MO_AN_Netlosstocommonstockholders</vt:lpstr>
      <vt:lpstr>z_GMEG0H0133_MO_AN_NetlossusedforEPScalculation</vt:lpstr>
      <vt:lpstr>z_GMEG0H0133_MO_AN_Noncashinterestexpenserelatedtoconvertiblenotesandother</vt:lpstr>
      <vt:lpstr>z_GMEG0H0133_MO_AN_nongaapnetincomeloss</vt:lpstr>
      <vt:lpstr>z_GMEG0H0133_MO_AN_OtherDAandimpairmentexpense</vt:lpstr>
      <vt:lpstr>z_GMEG0H0133_MO_AN_SBCrelatedtorestructuringandother</vt:lpstr>
      <vt:lpstr>z_GMEG0H0133_MO_AN_sbcrelatingtocogs</vt:lpstr>
      <vt:lpstr>z_GMEG0H0133_MO_AN_sbcrelatingtord</vt:lpstr>
      <vt:lpstr>z_GMEG0H0133_MO_AN_sbcrelatingtosga</vt:lpstr>
      <vt:lpstr>z_GMEG0H0133_MO_AN_stockbasedcompensationexpense</vt:lpstr>
      <vt:lpstr>z_GMEG0H0133_MO_AN_stockbasedcompensationexpense_1</vt:lpstr>
      <vt:lpstr>z_GMEG0H0133_MO_AN_TotalDAexpense</vt:lpstr>
      <vt:lpstr>z_GMEG0H0133_MO_AN_totalsbc</vt:lpstr>
      <vt:lpstr>z_GMEG0H0133_MO_AN_zevcreditrevenuerecognized</vt:lpstr>
      <vt:lpstr>z_GMEG0H0133_MO_BlankRow_AN</vt:lpstr>
      <vt:lpstr>z_GMEG0H0133_MO_BlankRow_AN_2</vt:lpstr>
      <vt:lpstr>z_GMEG0H0133_MO_BlankRow_AN_3</vt:lpstr>
      <vt:lpstr>z_GMEG0H0133_MO_BlankRow_AN_4</vt:lpstr>
      <vt:lpstr>z_GMEG0H0133_MO_BlankRow_BS_1</vt:lpstr>
      <vt:lpstr>z_GMEG0H0133_MO_BlankRow_BS_2</vt:lpstr>
      <vt:lpstr>z_GMEG0H0133_MO_BlankRow_BS_3</vt:lpstr>
      <vt:lpstr>z_GMEG0H0133_MO_BlankRow_BS_4</vt:lpstr>
      <vt:lpstr>z_GMEG0H0133_MO_BlankRow_BS_5</vt:lpstr>
      <vt:lpstr>z_GMEG0H0133_MO_BlankRow_BSS</vt:lpstr>
      <vt:lpstr>z_GMEG0H0133_MO_BlankRow_BSS_1</vt:lpstr>
      <vt:lpstr>z_GMEG0H0133_MO_BlankRow_BSS_2</vt:lpstr>
      <vt:lpstr>z_GMEG0H0133_MO_BlankRow_CCFS</vt:lpstr>
      <vt:lpstr>z_GMEG0H0133_MO_BlankRow_CCFS_1</vt:lpstr>
      <vt:lpstr>z_GMEG0H0133_MO_BlankRow_CCFS_2</vt:lpstr>
      <vt:lpstr>z_GMEG0H0133_MO_BlankRow_CCFS_3</vt:lpstr>
      <vt:lpstr>z_GMEG0H0133_MO_BlankRow_CCFS_4</vt:lpstr>
      <vt:lpstr>z_GMEG0H0133_MO_BlankRow_CCFS_5</vt:lpstr>
      <vt:lpstr>z_GMEG0H0133_MO_BlankRow_CFS_2</vt:lpstr>
      <vt:lpstr>z_GMEG0H0133_MO_BlankRow_CFS_3</vt:lpstr>
      <vt:lpstr>z_GMEG0H0133_MO_BlankRow_CFS_4</vt:lpstr>
      <vt:lpstr>z_GMEG0H0133_MO_BlankRow_CFS_5</vt:lpstr>
      <vt:lpstr>z_GMEG0H0133_MO_BlankRow_CFS_6</vt:lpstr>
      <vt:lpstr>z_GMEG0H0133_MO_BlankRow_CFS_7</vt:lpstr>
      <vt:lpstr>z_GMEG0H0133_MO_BlankRow_CFS_9</vt:lpstr>
      <vt:lpstr>z_GMEG0H0133_MO_BlankRow_CFSum</vt:lpstr>
      <vt:lpstr>z_GMEG0H0133_MO_BlankRow_CFSum_1</vt:lpstr>
      <vt:lpstr>z_GMEG0H0133_MO_BlankRow_CFSum_2</vt:lpstr>
      <vt:lpstr>z_GMEG0H0133_MO_BlankRow_DAF</vt:lpstr>
      <vt:lpstr>z_GMEG0H0133_MO_BlankRow_DAF_1</vt:lpstr>
      <vt:lpstr>z_GMEG0H0133_MO_BlankRow_DAF_2</vt:lpstr>
      <vt:lpstr>z_GMEG0H0133_MO_BlankRow_DAF_3</vt:lpstr>
      <vt:lpstr>z_GMEG0H0133_MO_BlankRow_IS</vt:lpstr>
      <vt:lpstr>z_GMEG0H0133_MO_BlankRow_IS_1</vt:lpstr>
      <vt:lpstr>z_GMEG0H0133_MO_BlankRow_MA</vt:lpstr>
      <vt:lpstr>z_GMEG0H0133_MO_BlankRow_MA_2</vt:lpstr>
      <vt:lpstr>z_GMEG0H0133_MO_BlankRow_MA_3</vt:lpstr>
      <vt:lpstr>z_GMEG0H0133_MO_BlankRow_MA_4</vt:lpstr>
      <vt:lpstr>z_GMEG0H0133_MO_BlankRow_MA_5</vt:lpstr>
      <vt:lpstr>z_GMEG0H0133_MO_BlankRow_MA_6</vt:lpstr>
      <vt:lpstr>z_GMEG0H0133_MO_BlankRow_MA_7</vt:lpstr>
      <vt:lpstr>z_GMEG0H0133_MO_BlankRow_MA_8</vt:lpstr>
      <vt:lpstr>z_GMEG0H0133_MO_BlankRow_OS_101</vt:lpstr>
      <vt:lpstr>z_GMEG0H0133_MO_BlankRow_OS_102</vt:lpstr>
      <vt:lpstr>z_GMEG0H0133_MO_BlankRow_OS_103</vt:lpstr>
      <vt:lpstr>z_GMEG0H0133_MO_BlankRow_OS_104</vt:lpstr>
      <vt:lpstr>z_GMEG0H0133_MO_BlankRow_OS_105</vt:lpstr>
      <vt:lpstr>z_GMEG0H0133_MO_BlankRow_OS_106</vt:lpstr>
      <vt:lpstr>z_GMEG0H0133_MO_BlankRow_OS_107</vt:lpstr>
      <vt:lpstr>z_GMEG0H0133_MO_BlankRow_OS_108</vt:lpstr>
      <vt:lpstr>z_GMEG0H0133_MO_BlankRow_OS_109</vt:lpstr>
      <vt:lpstr>z_GMEG0H0133_MO_BlankRow_OS_110</vt:lpstr>
      <vt:lpstr>z_GMEG0H0133_MO_BlankRow_OS_111</vt:lpstr>
      <vt:lpstr>z_GMEG0H0133_MO_BlankRow_OS_112</vt:lpstr>
      <vt:lpstr>z_GMEG0H0133_MO_BlankRow_OS_113</vt:lpstr>
      <vt:lpstr>z_GMEG0H0133_MO_BlankRow_OS_114</vt:lpstr>
      <vt:lpstr>z_GMEG0H0133_MO_BlankRow_OS_115</vt:lpstr>
      <vt:lpstr>z_GMEG0H0133_MO_BlankRow_OS_17</vt:lpstr>
      <vt:lpstr>z_GMEG0H0133_MO_BlankRow_OS_18</vt:lpstr>
      <vt:lpstr>z_GMEG0H0133_MO_BlankRow_OS_19</vt:lpstr>
      <vt:lpstr>z_GMEG0H0133_MO_BlankRow_OS_20</vt:lpstr>
      <vt:lpstr>z_GMEG0H0133_MO_BlankRow_OS_21</vt:lpstr>
      <vt:lpstr>z_GMEG0H0133_MO_BlankRow_OS_24</vt:lpstr>
      <vt:lpstr>z_GMEG0H0133_MO_BlankRow_OS_25</vt:lpstr>
      <vt:lpstr>z_GMEG0H0133_MO_BlankRow_OS_28</vt:lpstr>
      <vt:lpstr>z_GMEG0H0133_MO_BlankRow_OS_31</vt:lpstr>
      <vt:lpstr>z_GMEG0H0133_MO_BlankRow_OS_32</vt:lpstr>
      <vt:lpstr>z_GMEG0H0133_MO_BlankRow_OS_34</vt:lpstr>
      <vt:lpstr>z_GMEG0H0133_MO_BlankRow_OS_38</vt:lpstr>
      <vt:lpstr>z_GMEG0H0133_MO_BlankRow_OS_4</vt:lpstr>
      <vt:lpstr>z_GMEG0H0133_MO_BlankRow_OS_44</vt:lpstr>
      <vt:lpstr>z_GMEG0H0133_MO_BlankRow_OS_45</vt:lpstr>
      <vt:lpstr>z_GMEG0H0133_MO_BlankRow_OS_47</vt:lpstr>
      <vt:lpstr>z_GMEG0H0133_MO_BlankRow_OS_48</vt:lpstr>
      <vt:lpstr>z_GMEG0H0133_MO_BlankRow_OS_51</vt:lpstr>
      <vt:lpstr>z_GMEG0H0133_MO_BlankRow_OS_52</vt:lpstr>
      <vt:lpstr>z_GMEG0H0133_MO_BlankRow_OS_53</vt:lpstr>
      <vt:lpstr>z_GMEG0H0133_MO_BlankRow_OS_54</vt:lpstr>
      <vt:lpstr>z_GMEG0H0133_MO_BlankRow_OS_55</vt:lpstr>
      <vt:lpstr>z_GMEG0H0133_MO_BlankRow_OS_56</vt:lpstr>
      <vt:lpstr>z_GMEG0H0133_MO_BlankRow_OS_58</vt:lpstr>
      <vt:lpstr>z_GMEG0H0133_MO_BlankRow_OS_61</vt:lpstr>
      <vt:lpstr>z_GMEG0H0133_MO_BlankRow_OS_62</vt:lpstr>
      <vt:lpstr>z_GMEG0H0133_MO_BlankRow_OS_63</vt:lpstr>
      <vt:lpstr>z_GMEG0H0133_MO_BlankRow_OS_65</vt:lpstr>
      <vt:lpstr>z_GMEG0H0133_MO_BlankRow_OS_67</vt:lpstr>
      <vt:lpstr>z_GMEG0H0133_MO_BlankRow_OS_69</vt:lpstr>
      <vt:lpstr>z_GMEG0H0133_MO_BlankRow_OS_70</vt:lpstr>
      <vt:lpstr>z_GMEG0H0133_MO_BlankRow_OS_71</vt:lpstr>
      <vt:lpstr>z_GMEG0H0133_MO_BlankRow_OS_72</vt:lpstr>
      <vt:lpstr>z_GMEG0H0133_MO_BlankRow_OS_73</vt:lpstr>
      <vt:lpstr>z_GMEG0H0133_MO_BlankRow_OS_74</vt:lpstr>
      <vt:lpstr>z_GMEG0H0133_MO_BlankRow_OS_75</vt:lpstr>
      <vt:lpstr>z_GMEG0H0133_MO_BlankRow_OS_76</vt:lpstr>
      <vt:lpstr>z_GMEG0H0133_MO_BlankRow_OS_77</vt:lpstr>
      <vt:lpstr>z_GMEG0H0133_MO_BlankRow_OS_78</vt:lpstr>
      <vt:lpstr>z_GMEG0H0133_MO_BlankRow_OS_79</vt:lpstr>
      <vt:lpstr>z_GMEG0H0133_MO_BlankRow_OS_80</vt:lpstr>
      <vt:lpstr>z_GMEG0H0133_MO_BlankRow_OS_81</vt:lpstr>
      <vt:lpstr>z_GMEG0H0133_MO_BlankRow_OS_82</vt:lpstr>
      <vt:lpstr>z_GMEG0H0133_MO_BlankRow_OS_83</vt:lpstr>
      <vt:lpstr>z_GMEG0H0133_MO_BlankRow_OS_84</vt:lpstr>
      <vt:lpstr>z_GMEG0H0133_MO_BlankRow_OS_85</vt:lpstr>
      <vt:lpstr>z_GMEG0H0133_MO_BlankRow_OS_86</vt:lpstr>
      <vt:lpstr>z_GMEG0H0133_MO_BlankRow_OS_87</vt:lpstr>
      <vt:lpstr>z_GMEG0H0133_MO_BlankRow_OS_88</vt:lpstr>
      <vt:lpstr>z_GMEG0H0133_MO_BlankRow_OS_89</vt:lpstr>
      <vt:lpstr>z_GMEG0H0133_MO_BlankRow_OS_90</vt:lpstr>
      <vt:lpstr>z_GMEG0H0133_MO_BlankRow_OS_91</vt:lpstr>
      <vt:lpstr>z_GMEG0H0133_MO_BlankRow_OS_92</vt:lpstr>
      <vt:lpstr>z_GMEG0H0133_MO_BlankRow_OS_93</vt:lpstr>
      <vt:lpstr>z_GMEG0H0133_MO_BlankRow_OS_94</vt:lpstr>
      <vt:lpstr>z_GMEG0H0133_MO_BlankRow_OS_95</vt:lpstr>
      <vt:lpstr>z_GMEG0H0133_MO_BlankRow_OS_96</vt:lpstr>
      <vt:lpstr>z_GMEG0H0133_MO_BlankRow_OS_97</vt:lpstr>
      <vt:lpstr>z_GMEG0H0133_MO_BlankRow_OS_98</vt:lpstr>
      <vt:lpstr>z_GMEG0H0133_MO_BlankRow_OS_99</vt:lpstr>
      <vt:lpstr>z_GMEG0H0133_MO_BlankRow_RIS</vt:lpstr>
      <vt:lpstr>z_GMEG0H0133_MO_BlankRow_RIS_1</vt:lpstr>
      <vt:lpstr>z_GMEG0H0133_MO_BlankRow_RIS_2</vt:lpstr>
      <vt:lpstr>z_GMEG0H0133_MO_BlankRow_RIS_3</vt:lpstr>
      <vt:lpstr>z_GMEG0H0133_MO_BlankRow_RIS_4</vt:lpstr>
      <vt:lpstr>z_GMEG0H0133_MO_BlankRow_RIS_5</vt:lpstr>
      <vt:lpstr>z_GMEG0H0133_MO_BlankRow_RIS_6</vt:lpstr>
      <vt:lpstr>z_GMEG0H0133_MO_BlankRow_RIS_7</vt:lpstr>
      <vt:lpstr>z_GMEG0H0133_MO_BlankRow_RIS_8</vt:lpstr>
      <vt:lpstr>z_GMEG0H0133_MO_BlankRow_SNA</vt:lpstr>
      <vt:lpstr>z_GMEG0H0133_MO_BlankRow_SNA_1</vt:lpstr>
      <vt:lpstr>z_GMEG0H0133_MO_BlankRow_SNA_10</vt:lpstr>
      <vt:lpstr>z_GMEG0H0133_MO_BlankRow_SNA_11</vt:lpstr>
      <vt:lpstr>z_GMEG0H0133_MO_BlankRow_SNA_12</vt:lpstr>
      <vt:lpstr>z_GMEG0H0133_MO_BlankRow_SNA_13</vt:lpstr>
      <vt:lpstr>z_GMEG0H0133_MO_BlankRow_SNA_2</vt:lpstr>
      <vt:lpstr>z_GMEG0H0133_MO_BlankRow_SNA_3</vt:lpstr>
      <vt:lpstr>z_GMEG0H0133_MO_BlankRow_SNA_4</vt:lpstr>
      <vt:lpstr>z_GMEG0H0133_MO_BlankRow_SNA_5</vt:lpstr>
      <vt:lpstr>z_GMEG0H0133_MO_BlankRow_SNA_6</vt:lpstr>
      <vt:lpstr>z_GMEG0H0133_MO_BlankRow_SNA_7</vt:lpstr>
      <vt:lpstr>z_GMEG0H0133_MO_BlankRow_SNA_8</vt:lpstr>
      <vt:lpstr>z_GMEG0H0133_MO_BlankRow_SNA_9</vt:lpstr>
      <vt:lpstr>z_GMEG0H0133_MO_BS_Accountspayable</vt:lpstr>
      <vt:lpstr>z_GMEG0H0133_MO_BS_Accountsreceivable</vt:lpstr>
      <vt:lpstr>z_GMEG0H0133_MO_BS_accruedliabilities</vt:lpstr>
      <vt:lpstr>z_GMEG0H0133_MO_BS_Accruedliabilities_1</vt:lpstr>
      <vt:lpstr>z_GMEG0H0133_MO_BS_accumulateddeficit</vt:lpstr>
      <vt:lpstr>z_GMEG0H0133_MO_BS_Accumulatedothercomprehensiveloss</vt:lpstr>
      <vt:lpstr>z_GMEG0H0133_MO_BS_additionalpaidincapital</vt:lpstr>
      <vt:lpstr>z_GMEG0H0133_MO_BS_BSCheck</vt:lpstr>
      <vt:lpstr>z_GMEG0H0133_MO_BS_Buildingandbuildingimprovements</vt:lpstr>
      <vt:lpstr>z_GMEG0H0133_MO_BS_capitalleaseobligations</vt:lpstr>
      <vt:lpstr>z_GMEG0H0133_MO_BS_cashandcashequivalents</vt:lpstr>
      <vt:lpstr>z_GMEG0H0133_MO_BS_commonstock</vt:lpstr>
      <vt:lpstr>z_GMEG0H0133_MO_BS_commonstockwarrantliability</vt:lpstr>
      <vt:lpstr>z_GMEG0H0133_MO_BS_Computerequipment</vt:lpstr>
      <vt:lpstr>z_GMEG0H0133_MO_BS_Constructioninprogress</vt:lpstr>
      <vt:lpstr>z_GMEG0H0133_MO_BS_convertibleseniornotes</vt:lpstr>
      <vt:lpstr>z_GMEG0H0133_MO_BS_convertibleseniornotes_1</vt:lpstr>
      <vt:lpstr>z_GMEG0H0133_MO_BS_CurrentAssets</vt:lpstr>
      <vt:lpstr>z_GMEG0H0133_MO_BS_CurrentLiabilities</vt:lpstr>
      <vt:lpstr>z_GMEG0H0133_MO_BS_Currentportionoflongtermdebtandcapitalleases</vt:lpstr>
      <vt:lpstr>z_GMEG0H0133_MO_BS_currentportionofsolarbondsissuedtorelatedparties</vt:lpstr>
      <vt:lpstr>z_GMEG0H0133_MO_BS_customerdeposits</vt:lpstr>
      <vt:lpstr>z_GMEG0H0133_MO_BS_deferreddevelopmentcompensation</vt:lpstr>
      <vt:lpstr>z_GMEG0H0133_MO_BS_deferredrevenue</vt:lpstr>
      <vt:lpstr>z_GMEG0H0133_MO_BS_deferredrevenue_1</vt:lpstr>
      <vt:lpstr>z_GMEG0H0133_MO_BS_deferredtaxes</vt:lpstr>
      <vt:lpstr>z_GMEG0H0133_MO_BS_Digitalassets</vt:lpstr>
      <vt:lpstr>z_GMEG0H0133_MO_BS_Finishedgoods</vt:lpstr>
      <vt:lpstr>z_GMEG0H0133_MO_BS_Goodwill</vt:lpstr>
      <vt:lpstr>z_GMEG0H0133_MO_BS_Intangibleassets</vt:lpstr>
      <vt:lpstr>z_GMEG0H0133_MO_BS_Inventory</vt:lpstr>
      <vt:lpstr>z_GMEG0H0133_MO_BS_Land</vt:lpstr>
      <vt:lpstr>z_GMEG0H0133_MO_BS_Landandbuildings</vt:lpstr>
      <vt:lpstr>z_GMEG0H0133_MO_BS_Leaseholdimprovements</vt:lpstr>
      <vt:lpstr>z_GMEG0H0133_MO_BS_LessAccumulateddepreciation</vt:lpstr>
      <vt:lpstr>z_GMEG0H0133_MO_BS_Longtermdebt</vt:lpstr>
      <vt:lpstr>z_GMEG0H0133_MO_BS_Longtermdebtandcapitalleases</vt:lpstr>
      <vt:lpstr>z_GMEG0H0133_MO_BS_Machineryequipment</vt:lpstr>
      <vt:lpstr>z_GMEG0H0133_MO_BS_mypowercustomernotesreceivable</vt:lpstr>
      <vt:lpstr>z_GMEG0H0133_MO_BS_nci</vt:lpstr>
      <vt:lpstr>z_GMEG0H0133_MO_BS_NonCurrentAssets</vt:lpstr>
      <vt:lpstr>z_GMEG0H0133_MO_BS_NonCurrentLiabilities</vt:lpstr>
      <vt:lpstr>z_GMEG0H0133_MO_BS_Operatingleaserightofuseassets</vt:lpstr>
      <vt:lpstr>z_GMEG0H0133_MO_BS_operatingleasevehicles</vt:lpstr>
      <vt:lpstr>z_GMEG0H0133_MO_BS_Other_3</vt:lpstr>
      <vt:lpstr>z_GMEG0H0133_MO_BS_Otherassets</vt:lpstr>
      <vt:lpstr>z_GMEG0H0133_MO_BS_Otherlongtermliabilities</vt:lpstr>
      <vt:lpstr>z_GMEG0H0133_MO_BS_Otherlongtermliabilities_1</vt:lpstr>
      <vt:lpstr>z_GMEG0H0133_MO_BS_preferredstock</vt:lpstr>
      <vt:lpstr>z_GMEG0H0133_MO_BS_Prepaidexpensesandothercurrentassets</vt:lpstr>
      <vt:lpstr>z_GMEG0H0133_MO_BS_Propertyplantandequipment</vt:lpstr>
      <vt:lpstr>z_GMEG0H0133_MO_BS_Rawmaterials</vt:lpstr>
      <vt:lpstr>z_GMEG0H0133_MO_BS_redeemablenoncontrollinginterestinsubsidiaries</vt:lpstr>
      <vt:lpstr>z_GMEG0H0133_MO_BS_resalevalueguarantees</vt:lpstr>
      <vt:lpstr>z_GMEG0H0133_MO_BS_resalevalueguarantees_1</vt:lpstr>
      <vt:lpstr>z_GMEG0H0133_MO_BS_restrictedcash</vt:lpstr>
      <vt:lpstr>z_GMEG0H0133_MO_BS_restrictedcashandmarketablesecurities</vt:lpstr>
      <vt:lpstr>z_GMEG0H0133_MO_BS_Serviceparts</vt:lpstr>
      <vt:lpstr>z_GMEG0H0133_MO_BS_ShareholdersEquity</vt:lpstr>
      <vt:lpstr>z_GMEG0H0133_MO_BS_shorttermmarketablesecurities</vt:lpstr>
      <vt:lpstr>z_GMEG0H0133_MO_BS_solarbondsissuedtorelatedparties</vt:lpstr>
      <vt:lpstr>z_GMEG0H0133_MO_BS_solarenergysystemsleasedandtobeleased</vt:lpstr>
      <vt:lpstr>z_GMEG0H0133_MO_BS_Tooling</vt:lpstr>
      <vt:lpstr>z_GMEG0H0133_MO_BS_TotalAssets</vt:lpstr>
      <vt:lpstr>z_GMEG0H0133_MO_BS_TotalCurrentAssets</vt:lpstr>
      <vt:lpstr>z_GMEG0H0133_MO_BS_TotalCurrentLiabilities</vt:lpstr>
      <vt:lpstr>z_GMEG0H0133_MO_BS_TotalLiabilities</vt:lpstr>
      <vt:lpstr>z_GMEG0H0133_MO_BS_TotalLiabilitiesSE</vt:lpstr>
      <vt:lpstr>z_GMEG0H0133_MO_BS_totalnoncurrentassets</vt:lpstr>
      <vt:lpstr>z_GMEG0H0133_MO_BS_TotalNonCurrentliabilities</vt:lpstr>
      <vt:lpstr>z_GMEG0H0133_MO_BS_TotalSE</vt:lpstr>
      <vt:lpstr>z_GMEG0H0133_MO_BS_Workinprocess</vt:lpstr>
      <vt:lpstr>z_GMEG0H0133_MO_BSS_Cash</vt:lpstr>
      <vt:lpstr>z_GMEG0H0133_MO_BSS_Debt</vt:lpstr>
      <vt:lpstr>z_GMEG0H0133_MO_BSS_DebtCashFlow</vt:lpstr>
      <vt:lpstr>z_GMEG0H0133_MO_BSS_DebtEBITDA</vt:lpstr>
      <vt:lpstr>z_GMEG0H0133_MO_BSS_EBITDANetInterestExpense</vt:lpstr>
      <vt:lpstr>z_GMEG0H0133_MO_BSS_EffectiveInterestRateonCash</vt:lpstr>
      <vt:lpstr>z_GMEG0H0133_MO_BSS_EffectiveInterestRateonDebt</vt:lpstr>
      <vt:lpstr>z_GMEG0H0133_MO_BSS_EffectiveNetInterestRateonDebt</vt:lpstr>
      <vt:lpstr>z_GMEG0H0133_MO_BSS_InterestExpense</vt:lpstr>
      <vt:lpstr>z_GMEG0H0133_MO_BSS_InterestIncome</vt:lpstr>
      <vt:lpstr>z_GMEG0H0133_MO_BSS_LTDebt</vt:lpstr>
      <vt:lpstr>z_GMEG0H0133_MO_BSS_NetDebt</vt:lpstr>
      <vt:lpstr>z_GMEG0H0133_MO_BSS_NetInterestExpenseIncome</vt:lpstr>
      <vt:lpstr>z_GMEG0H0133_MO_BSS_STDebt</vt:lpstr>
      <vt:lpstr>z_GMEG0H0133_MO_CCFS_accountspayableandaccruedliabilities</vt:lpstr>
      <vt:lpstr>z_GMEG0H0133_MO_CCFS_accountsreceivable</vt:lpstr>
      <vt:lpstr>z_GMEG0H0133_MO_CCFS_accruedliabilities</vt:lpstr>
      <vt:lpstr>z_GMEG0H0133_MO_CCFS_Ammortizationofdebtdiscountsandissuancecosts</vt:lpstr>
      <vt:lpstr>z_GMEG0H0133_MO_CCFS_amortizationofdepartmentofenergydoeloanoriginationcosts</vt:lpstr>
      <vt:lpstr>z_GMEG0H0133_MO_CCFS_BeginningCashBalance</vt:lpstr>
      <vt:lpstr>z_GMEG0H0133_MO_CCFS_Businessacquisition</vt:lpstr>
      <vt:lpstr>z_GMEG0H0133_MO_CCFS_Cashpaidduringtheperiodforinterest</vt:lpstr>
      <vt:lpstr>z_GMEG0H0133_MO_CCFS_Cashpaidduringtheperiodfortaxes</vt:lpstr>
      <vt:lpstr>z_GMEG0H0133_MO_CCFS_CFF</vt:lpstr>
      <vt:lpstr>z_GMEG0H0133_MO_CCFS_CFI</vt:lpstr>
      <vt:lpstr>z_GMEG0H0133_MO_CCFS_CFO</vt:lpstr>
      <vt:lpstr>z_GMEG0H0133_MO_CCFS_CFObeforeWC</vt:lpstr>
      <vt:lpstr>z_GMEG0H0133_MO_CCFS_changeinfairvalueofdoewarrantliability</vt:lpstr>
      <vt:lpstr>z_GMEG0H0133_MO_CCFS_Changesinoperatingassetsandliabilities</vt:lpstr>
      <vt:lpstr>z_GMEG0H0133_MO_CCFS_collateralizedleaseborrowing</vt:lpstr>
      <vt:lpstr>z_GMEG0H0133_MO_CCFS_Commonstockandconvertibledebtissuancecosts</vt:lpstr>
      <vt:lpstr>z_GMEG0H0133_MO_CCFS_customerdeposits</vt:lpstr>
      <vt:lpstr>z_GMEG0H0133_MO_CCFS_Debtissuancecosts</vt:lpstr>
      <vt:lpstr>z_GMEG0H0133_MO_CCFS_deferreddevelopmentcompensation</vt:lpstr>
      <vt:lpstr>z_GMEG0H0133_MO_CCFS_deferredrevenue</vt:lpstr>
      <vt:lpstr>z_GMEG0H0133_MO_CCFS_deferredtaxes</vt:lpstr>
      <vt:lpstr>z_GMEG0H0133_MO_CCFS_depreciationandamortization</vt:lpstr>
      <vt:lpstr>z_GMEG0H0133_MO_CCFS_Digitalassetsgain</vt:lpstr>
      <vt:lpstr>z_GMEG0H0133_MO_CCFS_distributionspaidtononcontrollinginterestsinsubsidiaries</vt:lpstr>
      <vt:lpstr>z_GMEG0H0133_MO_CCFS_Dividendspaid</vt:lpstr>
      <vt:lpstr>z_GMEG0H0133_MO_CCFS_EndingCashBalance</vt:lpstr>
      <vt:lpstr>z_GMEG0H0133_MO_CCFS_fixedassetdisposal</vt:lpstr>
      <vt:lpstr>z_GMEG0H0133_MO_CCFS_foreigncurrencytransactiongainloss</vt:lpstr>
      <vt:lpstr>z_GMEG0H0133_MO_CCFS_FX</vt:lpstr>
      <vt:lpstr>z_GMEG0H0133_MO_CCFS_GainlossonacquisitionofSolarCity</vt:lpstr>
      <vt:lpstr>z_GMEG0H0133_MO_CCFS_gainonextinguishmentofconvertiblenotesandwarrants</vt:lpstr>
      <vt:lpstr>z_GMEG0H0133_MO_CCFS_Increasedecreaseinotherrestrictedcash</vt:lpstr>
      <vt:lpstr>z_GMEG0H0133_MO_CCFS_inventoriesandoperatingleasevehicles</vt:lpstr>
      <vt:lpstr>z_GMEG0H0133_MO_CCFS_Inventory_1</vt:lpstr>
      <vt:lpstr>z_GMEG0H0133_MO_CCFS_inventorywritedowns</vt:lpstr>
      <vt:lpstr>z_GMEG0H0133_MO_CCFS_maturitiesofshorttermmarketablesecurities</vt:lpstr>
      <vt:lpstr>z_GMEG0H0133_MO_CCFS_mypowernotesreceivable</vt:lpstr>
      <vt:lpstr>z_GMEG0H0133_MO_CCFS_Netborrowingsundervehicleandsolarfinancing</vt:lpstr>
      <vt:lpstr>z_GMEG0H0133_MO_CCFS_NetborrowingsunderWarehouseAgreementsandautomotiveassetbackednotes</vt:lpstr>
      <vt:lpstr>z_GMEG0H0133_MO_CCFS_Netcashflowsfromdebtactivities</vt:lpstr>
      <vt:lpstr>z_GMEG0H0133_MO_CCFS_netcashflowsfromnoncontrollinginterests</vt:lpstr>
      <vt:lpstr>z_GMEG0H0133_MO_CCFS_NetCFF</vt:lpstr>
      <vt:lpstr>z_GMEG0H0133_MO_CCFS_NetCFI</vt:lpstr>
      <vt:lpstr>z_GMEG0H0133_MO_CCFS_NetCFO</vt:lpstr>
      <vt:lpstr>z_GMEG0H0133_MO_CCFS_NetChangeinCashBalance</vt:lpstr>
      <vt:lpstr>z_GMEG0H0133_MO_CCFS_netloss</vt:lpstr>
      <vt:lpstr>z_GMEG0H0133_MO_CCFS_Noncashinterestandotheroperatingactivities</vt:lpstr>
      <vt:lpstr>z_GMEG0H0133_MO_CCFS_Operatingcashflowrelatedtorepaymentofdiscountedconvertiblenotes</vt:lpstr>
      <vt:lpstr>z_GMEG0H0133_MO_CCFS_Operatingleasevehicles</vt:lpstr>
      <vt:lpstr>z_GMEG0H0133_MO_CCFS_Other_7</vt:lpstr>
      <vt:lpstr>z_GMEG0H0133_MO_CCFS_Otherassets</vt:lpstr>
      <vt:lpstr>z_GMEG0H0133_MO_CCFS_Otherlongtermliabilities</vt:lpstr>
      <vt:lpstr>z_GMEG0H0133_MO_CCFS_Othernoncashoperatingactivities</vt:lpstr>
      <vt:lpstr>z_GMEG0H0133_MO_CCFS_paymentforsettlementsofwarrants</vt:lpstr>
      <vt:lpstr>z_GMEG0H0133_MO_CCFS_Paymentsforbuyoutsofnoncontrollinginterestsinsubsidiaries</vt:lpstr>
      <vt:lpstr>z_GMEG0H0133_MO_CCFS_paymentsofthecostofsolarenergysystems</vt:lpstr>
      <vt:lpstr>z_GMEG0H0133_MO_CCFS_Prepaidexpensesandothercurrentassets</vt:lpstr>
      <vt:lpstr>z_GMEG0H0133_MO_CCFS_Principalpaymentsoncapitalleasesandotherdebt</vt:lpstr>
      <vt:lpstr>z_GMEG0H0133_MO_CCFS_principalpaymentsondoeloans</vt:lpstr>
      <vt:lpstr>z_GMEG0H0133_MO_CCFS_proceedsfromdoeloans</vt:lpstr>
      <vt:lpstr>z_GMEG0H0133_MO_CCFS_Proceedsfromexerciseofstockoptionsandotherstockissuances</vt:lpstr>
      <vt:lpstr>z_GMEG0H0133_MO_CCFS_proceedsfrominvestmentbynci</vt:lpstr>
      <vt:lpstr>z_GMEG0H0133_MO_CCFS_proceedsfromissuanceofcommonstockinprivateplacement</vt:lpstr>
      <vt:lpstr>z_GMEG0H0133_MO_CCFS_proceedsfromissuanceofcommonstockinpublicoffering</vt:lpstr>
      <vt:lpstr>z_GMEG0H0133_MO_CCFS_Proceedsfromissuanceofconvertibleandotherdebt</vt:lpstr>
      <vt:lpstr>z_GMEG0H0133_MO_CCFS_proceedsfromissuanceofconvertiblepreferredstock</vt:lpstr>
      <vt:lpstr>z_GMEG0H0133_MO_CCFS_proceedsfromissuanceofwarrants</vt:lpstr>
      <vt:lpstr>z_GMEG0H0133_MO_CCFS_proceedsfromsaleofpropertyandequipment</vt:lpstr>
      <vt:lpstr>z_GMEG0H0133_MO_CCFS_Proceedsfromsalesofdigitalassets</vt:lpstr>
      <vt:lpstr>z_GMEG0H0133_MO_CCFS_proceedsfromsettlementofconvertiblenotehedges</vt:lpstr>
      <vt:lpstr>z_GMEG0H0133_MO_CCFS_purchaseofconvertiblenotehedges</vt:lpstr>
      <vt:lpstr>z_GMEG0H0133_MO_CCFS_Purchaseofintangibleassets</vt:lpstr>
      <vt:lpstr>z_GMEG0H0133_MO_CCFS_Purchasesofdigitalassets</vt:lpstr>
      <vt:lpstr>z_GMEG0H0133_MO_CCFS_purchasesofpropertyandequipmentexcludingcapitalleases</vt:lpstr>
      <vt:lpstr>z_GMEG0H0133_MO_CCFS_purchasesofshorttermmarketablesecurities</vt:lpstr>
      <vt:lpstr>z_GMEG0H0133_MO_CCFS_Receiptofgovernmentgrants</vt:lpstr>
      <vt:lpstr>z_GMEG0H0133_MO_CCFS_repaymentsofborrowingsundersolarbondsissuedtorelatedparties</vt:lpstr>
      <vt:lpstr>z_GMEG0H0133_MO_CCFS_Repaymentsofconvertibleandotherdebt</vt:lpstr>
      <vt:lpstr>z_GMEG0H0133_MO_CCFS_Repurchasesofcommonstock</vt:lpstr>
      <vt:lpstr>z_GMEG0H0133_MO_CCFS_resalevalueguarantee</vt:lpstr>
      <vt:lpstr>z_GMEG0H0133_MO_CCFS_stockbasedcompensation</vt:lpstr>
      <vt:lpstr>z_GMEG0H0133_MO_CCFS_withdrawalsoutofourdedicateddoeaccount</vt:lpstr>
      <vt:lpstr>z_GMEG0H0133_MO_CFS_accountspayableandaccruedliabilities</vt:lpstr>
      <vt:lpstr>z_GMEG0H0133_MO_CFS_accountsreceivable</vt:lpstr>
      <vt:lpstr>z_GMEG0H0133_MO_CFS_accruedliabilities</vt:lpstr>
      <vt:lpstr>z_GMEG0H0133_MO_CFS_Ammortizationofdebtdiscountsandissuancecosts</vt:lpstr>
      <vt:lpstr>z_GMEG0H0133_MO_CFS_amortizationofdepartmentofenergydoeloanoriginationcosts</vt:lpstr>
      <vt:lpstr>z_GMEG0H0133_MO_CFS_BeginningCashBalance</vt:lpstr>
      <vt:lpstr>z_GMEG0H0133_MO_CFS_Businessacquisition</vt:lpstr>
      <vt:lpstr>z_GMEG0H0133_MO_CFS_Cashpaidduringtheperiodforinterest</vt:lpstr>
      <vt:lpstr>z_GMEG0H0133_MO_CFS_Cashpaidduringtheperiodfortaxes</vt:lpstr>
      <vt:lpstr>z_GMEG0H0133_MO_CFS_CFCheck</vt:lpstr>
      <vt:lpstr>z_GMEG0H0133_MO_CFS_CFF</vt:lpstr>
      <vt:lpstr>z_GMEG0H0133_MO_CFS_CFI</vt:lpstr>
      <vt:lpstr>z_GMEG0H0133_MO_CFS_CFO</vt:lpstr>
      <vt:lpstr>z_GMEG0H0133_MO_CFS_CFObeforeWC</vt:lpstr>
      <vt:lpstr>z_GMEG0H0133_MO_CFS_changeinfairvalueofdoewarrantliability</vt:lpstr>
      <vt:lpstr>z_GMEG0H0133_MO_CFS_Changesinoperatingassetsandliabilities</vt:lpstr>
      <vt:lpstr>z_GMEG0H0133_MO_CFS_collateralizedleaseborrowing</vt:lpstr>
      <vt:lpstr>z_GMEG0H0133_MO_CFS_Commonstockandconvertibledebtissuancecosts</vt:lpstr>
      <vt:lpstr>z_GMEG0H0133_MO_CFS_customerdeposits</vt:lpstr>
      <vt:lpstr>z_GMEG0H0133_MO_CFS_Debtissuancecosts</vt:lpstr>
      <vt:lpstr>z_GMEG0H0133_MO_CFS_deferreddevelopmentcompensation</vt:lpstr>
      <vt:lpstr>z_GMEG0H0133_MO_CFS_deferredrevenue</vt:lpstr>
      <vt:lpstr>z_GMEG0H0133_MO_CFS_deferredtaxes</vt:lpstr>
      <vt:lpstr>z_GMEG0H0133_MO_CFS_depreciationandamortization</vt:lpstr>
      <vt:lpstr>z_GMEG0H0133_MO_CFS_Digitalassetsgain</vt:lpstr>
      <vt:lpstr>z_GMEG0H0133_MO_CFS_distributionspaidtononcontrollinginterestsinsubsidiaries</vt:lpstr>
      <vt:lpstr>z_GMEG0H0133_MO_CFS_Dividendspaid</vt:lpstr>
      <vt:lpstr>z_GMEG0H0133_MO_CFS_EndingCashBalance</vt:lpstr>
      <vt:lpstr>z_GMEG0H0133_MO_CFS_fixedassetdisposal</vt:lpstr>
      <vt:lpstr>z_GMEG0H0133_MO_CFS_foreigncurrencytransactiongainloss</vt:lpstr>
      <vt:lpstr>z_GMEG0H0133_MO_CFS_FX</vt:lpstr>
      <vt:lpstr>z_GMEG0H0133_MO_CFS_GainlossonacquisitionofSolarCity</vt:lpstr>
      <vt:lpstr>z_GMEG0H0133_MO_CFS_gainonextinguishmentofconvertiblenotesandwarrants</vt:lpstr>
      <vt:lpstr>z_GMEG0H0133_MO_CFS_Increasedecreaseinotherrestrictedcash</vt:lpstr>
      <vt:lpstr>z_GMEG0H0133_MO_CFS_inventoriesandoperatingleasevehicles</vt:lpstr>
      <vt:lpstr>z_GMEG0H0133_MO_CFS_Inventory_1</vt:lpstr>
      <vt:lpstr>z_GMEG0H0133_MO_CFS_inventorywritedowns</vt:lpstr>
      <vt:lpstr>z_GMEG0H0133_MO_CFS_maturitiesofshorttermmarketablesecurities</vt:lpstr>
      <vt:lpstr>z_GMEG0H0133_MO_CFS_mypowernotesreceivable</vt:lpstr>
      <vt:lpstr>z_GMEG0H0133_MO_CFS_Netborrowingsundervehicleandsolarfinancing</vt:lpstr>
      <vt:lpstr>z_GMEG0H0133_MO_CFS_NetborrowingsunderWarehouseAgreementsandautomotiveassetbackednotes</vt:lpstr>
      <vt:lpstr>z_GMEG0H0133_MO_CFS_Netcashflowsfromdebtactivities</vt:lpstr>
      <vt:lpstr>z_GMEG0H0133_MO_CFS_netcashflowsfromnoncontrollinginterests</vt:lpstr>
      <vt:lpstr>z_GMEG0H0133_MO_CFS_NetCFF</vt:lpstr>
      <vt:lpstr>z_GMEG0H0133_MO_CFS_NetCFI</vt:lpstr>
      <vt:lpstr>z_GMEG0H0133_MO_CFS_NetCFO</vt:lpstr>
      <vt:lpstr>z_GMEG0H0133_MO_CFS_NetChangeinCashBalance</vt:lpstr>
      <vt:lpstr>z_GMEG0H0133_MO_CFS_netloss</vt:lpstr>
      <vt:lpstr>z_GMEG0H0133_MO_CFS_Noncashinterestandotheroperatingactivities</vt:lpstr>
      <vt:lpstr>z_GMEG0H0133_MO_CFS_Operatingcashflowrelatedtorepaymentofdiscountedconvertiblenotes</vt:lpstr>
      <vt:lpstr>z_GMEG0H0133_MO_CFS_Operatingleasevehicles</vt:lpstr>
      <vt:lpstr>z_GMEG0H0133_MO_CFS_Other_7</vt:lpstr>
      <vt:lpstr>z_GMEG0H0133_MO_CFS_Otherassets</vt:lpstr>
      <vt:lpstr>z_GMEG0H0133_MO_CFS_Otherlongtermliabilities</vt:lpstr>
      <vt:lpstr>z_GMEG0H0133_MO_CFS_Othernoncashoperatingactivities</vt:lpstr>
      <vt:lpstr>z_GMEG0H0133_MO_CFS_paymentforsettlementsofwarrants</vt:lpstr>
      <vt:lpstr>z_GMEG0H0133_MO_CFS_Paymentsforbuyoutsofnoncontrollinginterestsinsubsidiaries</vt:lpstr>
      <vt:lpstr>z_GMEG0H0133_MO_CFS_paymentsofthecostofsolarenergysystems</vt:lpstr>
      <vt:lpstr>z_GMEG0H0133_MO_CFS_Prepaidexpensesandothercurrentassets</vt:lpstr>
      <vt:lpstr>z_GMEG0H0133_MO_CFS_Principalpaymentsoncapitalleasesandotherdebt</vt:lpstr>
      <vt:lpstr>z_GMEG0H0133_MO_CFS_principalpaymentsondoeloans</vt:lpstr>
      <vt:lpstr>z_GMEG0H0133_MO_CFS_proceedsfromdoeloans</vt:lpstr>
      <vt:lpstr>z_GMEG0H0133_MO_CFS_Proceedsfromexerciseofstockoptionsandotherstockissuances</vt:lpstr>
      <vt:lpstr>z_GMEG0H0133_MO_CFS_proceedsfrominvestmentbynci</vt:lpstr>
      <vt:lpstr>z_GMEG0H0133_MO_CFS_proceedsfromissuanceofcommonstockinprivateplacement</vt:lpstr>
      <vt:lpstr>z_GMEG0H0133_MO_CFS_proceedsfromissuanceofcommonstockinpublicoffering</vt:lpstr>
      <vt:lpstr>z_GMEG0H0133_MO_CFS_Proceedsfromissuanceofconvertibleandotherdebt</vt:lpstr>
      <vt:lpstr>z_GMEG0H0133_MO_CFS_proceedsfromissuanceofconvertiblepreferredstock</vt:lpstr>
      <vt:lpstr>z_GMEG0H0133_MO_CFS_proceedsfromissuanceofwarrants</vt:lpstr>
      <vt:lpstr>z_GMEG0H0133_MO_CFS_proceedsfromsaleofpropertyandequipment</vt:lpstr>
      <vt:lpstr>z_GMEG0H0133_MO_CFS_Proceedsfromsalesofdigitalassets</vt:lpstr>
      <vt:lpstr>z_GMEG0H0133_MO_CFS_proceedsfromsettlementofconvertiblenotehedges</vt:lpstr>
      <vt:lpstr>z_GMEG0H0133_MO_CFS_purchaseofconvertiblenotehedges</vt:lpstr>
      <vt:lpstr>z_GMEG0H0133_MO_CFS_Purchaseofintangibleassets</vt:lpstr>
      <vt:lpstr>z_GMEG0H0133_MO_CFS_Purchasesofdigitalassets</vt:lpstr>
      <vt:lpstr>z_GMEG0H0133_MO_CFS_purchasesofpropertyandequipmentexcludingcapitalleases</vt:lpstr>
      <vt:lpstr>z_GMEG0H0133_MO_CFS_purchasesofshorttermmarketablesecurities</vt:lpstr>
      <vt:lpstr>z_GMEG0H0133_MO_CFS_Receiptofgovernmentgrants</vt:lpstr>
      <vt:lpstr>z_GMEG0H0133_MO_CFS_repaymentsofborrowingsundersolarbondsissuedtorelatedparties</vt:lpstr>
      <vt:lpstr>z_GMEG0H0133_MO_CFS_Repaymentsofconvertibleandotherdebt</vt:lpstr>
      <vt:lpstr>z_GMEG0H0133_MO_CFS_Repurchasesofcommonstock</vt:lpstr>
      <vt:lpstr>z_GMEG0H0133_MO_CFS_resalevalueguarantee</vt:lpstr>
      <vt:lpstr>z_GMEG0H0133_MO_CFS_stockbasedcompensation</vt:lpstr>
      <vt:lpstr>z_GMEG0H0133_MO_CFS_withdrawalsoutofourdedicateddoeaccount</vt:lpstr>
      <vt:lpstr>z_GMEG0H0133_MO_CFSum_Acquisitions</vt:lpstr>
      <vt:lpstr>z_GMEG0H0133_MO_CFSum_Capex</vt:lpstr>
      <vt:lpstr>z_GMEG0H0133_MO_CFSum_CashFlowPerDilutedShare</vt:lpstr>
      <vt:lpstr>z_GMEG0H0133_MO_CFSum_ConsensusEstimatesCapex</vt:lpstr>
      <vt:lpstr>z_GMEG0H0133_MO_CFSum_consensusestimatescashflowperdilutedshare</vt:lpstr>
      <vt:lpstr>z_GMEG0H0133_MO_CFSum_Divestiture</vt:lpstr>
      <vt:lpstr>z_GMEG0H0133_MO_CFSum_DividendPaid</vt:lpstr>
      <vt:lpstr>z_GMEG0H0133_MO_CFSum_DividendPerShare</vt:lpstr>
      <vt:lpstr>z_GMEG0H0133_MO_CFSum_EstimatedSharePriceforIssuanceBuybacks</vt:lpstr>
      <vt:lpstr>z_GMEG0H0133_MO_CFSum_FCF</vt:lpstr>
      <vt:lpstr>z_GMEG0H0133_MO_CFSum_FCF_1</vt:lpstr>
      <vt:lpstr>z_GMEG0H0133_MO_CFSum_FCF_2</vt:lpstr>
      <vt:lpstr>z_GMEG0H0133_MO_CFSum_FCFPostDivDebtBuyback</vt:lpstr>
      <vt:lpstr>z_GMEG0H0133_MO_CFSum_NetDebtIssuanceRepayment</vt:lpstr>
      <vt:lpstr>z_GMEG0H0133_MO_CFSum_NetShareIssuanceBuybacks</vt:lpstr>
      <vt:lpstr>z_GMEG0H0133_MO_CFSum_OperatingCashFlowbeforeWC</vt:lpstr>
      <vt:lpstr>z_GMEG0H0133_MO_Checks_SNA_AdjustedNumbersFYSumofQs</vt:lpstr>
      <vt:lpstr>z_GMEG0H0133_MO_Checks_SNA_BalanceSheetisnotRepeated</vt:lpstr>
      <vt:lpstr>z_GMEG0H0133_MO_Checks_SNA_CapexisUpdated</vt:lpstr>
      <vt:lpstr>z_GMEG0H0133_MO_Checks_SNA_CashFlowisnotRepeated</vt:lpstr>
      <vt:lpstr>z_GMEG0H0133_MO_Checks_SNA_CashFlowSummarySignsareCorrect</vt:lpstr>
      <vt:lpstr>z_GMEG0H0133_MO_Checks_SNA_CashisPositive</vt:lpstr>
      <vt:lpstr>z_GMEG0H0133_MO_Checks_SNA_CFFsubtotalFYSumofQs</vt:lpstr>
      <vt:lpstr>z_GMEG0H0133_MO_Checks_SNA_CFIsubtotalFYSumofQs</vt:lpstr>
      <vt:lpstr>z_GMEG0H0133_MO_Checks_SNA_CFOBeforeWCsubtotalFYSumofQs</vt:lpstr>
      <vt:lpstr>z_GMEG0H0133_MO_Checks_SNA_CFSummaryFYSumofQs</vt:lpstr>
      <vt:lpstr>z_GMEG0H0133_MO_Checks_SNA_DebtisPositive</vt:lpstr>
      <vt:lpstr>z_GMEG0H0133_MO_Checks_SNA_EndingCFEndingCumulativeCF</vt:lpstr>
      <vt:lpstr>z_GMEG0H0133_MO_Checks_SNA_IncomeStatementisnotRepeated</vt:lpstr>
      <vt:lpstr>z_GMEG0H0133_MO_Checks_SNA_MarginisUpdated</vt:lpstr>
      <vt:lpstr>z_GMEG0H0133_MO_Checks_SNA_NetIncomeonReportedISNIonRevised</vt:lpstr>
      <vt:lpstr>z_GMEG0H0133_MO_Checks_SNA_NetIncomeonRevisedISNIonCFstatement</vt:lpstr>
      <vt:lpstr>z_GMEG0H0133_MO_Checks_SNA_RISAdjustedNIFYSumofQs</vt:lpstr>
      <vt:lpstr>z_GMEG0H0133_MO_Checks_SNA_RISEBITEBIT</vt:lpstr>
      <vt:lpstr>z_GMEG0H0133_MO_Checks_SNA_RISEBITOperatingEBIT</vt:lpstr>
      <vt:lpstr>z_GMEG0H0133_MO_Checks_SNA_RISNIFYSumofQs</vt:lpstr>
      <vt:lpstr>z_GMEG0H0133_MO_Checks_SNA_SegmentedRevenueRevenue</vt:lpstr>
      <vt:lpstr>z_GMEG0H0133_MO_DAF_AmortizationaspercentageofIntangiblesBoP</vt:lpstr>
      <vt:lpstr>z_GMEG0H0133_MO_DAF_Amortizationofintangibles</vt:lpstr>
      <vt:lpstr>z_GMEG0H0133_MO_DAF_Capexofintangibles</vt:lpstr>
      <vt:lpstr>z_GMEG0H0133_MO_DAF_CapexofPPE</vt:lpstr>
      <vt:lpstr>z_GMEG0H0133_MO_DAF_DepreciationaspercentageofPPEBoP</vt:lpstr>
      <vt:lpstr>z_GMEG0H0133_MO_DAF_Depreciationoffixedassets</vt:lpstr>
      <vt:lpstr>z_GMEG0H0133_MO_DAF_Impliedlifeoffixedassets</vt:lpstr>
      <vt:lpstr>z_GMEG0H0133_MO_DAF_Impliedlifeofintangibles</vt:lpstr>
      <vt:lpstr>z_GMEG0H0133_MO_DAF_IntangiblesBoP</vt:lpstr>
      <vt:lpstr>z_GMEG0H0133_MO_DAF_IntangiblesEoP</vt:lpstr>
      <vt:lpstr>z_GMEG0H0133_MO_DAF_Othernetadditionstointangibles</vt:lpstr>
      <vt:lpstr>z_GMEG0H0133_MO_DAF_OthernetadditionstoPPE</vt:lpstr>
      <vt:lpstr>z_GMEG0H0133_MO_DAF_Percentageofcapexallocatedtointangibleassets</vt:lpstr>
      <vt:lpstr>z_GMEG0H0133_MO_DAF_PPEBoP</vt:lpstr>
      <vt:lpstr>z_GMEG0H0133_MO_DAF_PPEEoP</vt:lpstr>
      <vt:lpstr>z_GMEG0H0133_MO_DAF_TotalCapex</vt:lpstr>
      <vt:lpstr>z_GMEG0H0133_MO_DAF_TotalDA</vt:lpstr>
      <vt:lpstr>z_GMEG0H0133_MO_Header_ColumnHeader</vt:lpstr>
      <vt:lpstr>z_GMEG0H0133_MO_Header_CompanySubTitle</vt:lpstr>
      <vt:lpstr>z_GMEG0H0133_MO_Header_CompanyTitle</vt:lpstr>
      <vt:lpstr>z_GMEG0H0133_MO_Header_FPDays</vt:lpstr>
      <vt:lpstr>z_GMEG0H0133_MO_Header_HeaderRow</vt:lpstr>
      <vt:lpstr>z_GMEG0H0133_MO_Header_HeaderRow_1</vt:lpstr>
      <vt:lpstr>z_GMEG0H0133_MO_Header_HeaderRow_2</vt:lpstr>
      <vt:lpstr>z_GMEG0H0133_MO_Header_HeaderRow_3</vt:lpstr>
      <vt:lpstr>z_GMEG0H0133_MO_Header_HeaderRow_4</vt:lpstr>
      <vt:lpstr>z_GMEG0H0133_MO_Header_QEndDate</vt:lpstr>
      <vt:lpstr>z_GMEG0H0133_MO_IS_automotive</vt:lpstr>
      <vt:lpstr>z_GMEG0H0133_MO_IS_automotive_1</vt:lpstr>
      <vt:lpstr>z_GMEG0H0133_MO_IS_automotiveleasing</vt:lpstr>
      <vt:lpstr>z_GMEG0H0133_MO_IS_automotiveleasing_1</vt:lpstr>
      <vt:lpstr>z_GMEG0H0133_MO_IS_energygenerationandstorage</vt:lpstr>
      <vt:lpstr>z_GMEG0H0133_MO_IS_energygenerationandstorage_1</vt:lpstr>
      <vt:lpstr>z_GMEG0H0133_MO_IS_grossprofit</vt:lpstr>
      <vt:lpstr>z_GMEG0H0133_MO_IS_interestexpense</vt:lpstr>
      <vt:lpstr>z_GMEG0H0133_MO_IS_interestincome</vt:lpstr>
      <vt:lpstr>z_GMEG0H0133_MO_IS_ISCheck</vt:lpstr>
      <vt:lpstr>z_GMEG0H0133_MO_IS_lossbeforeincometaxes</vt:lpstr>
      <vt:lpstr>z_GMEG0H0133_MO_IS_lossfromoperations</vt:lpstr>
      <vt:lpstr>z_GMEG0H0133_MO_IS_netincomelossattributabletononcontrollinginterests</vt:lpstr>
      <vt:lpstr>z_GMEG0H0133_MO_IS_netloss</vt:lpstr>
      <vt:lpstr>z_GMEG0H0133_MO_IS_netlosstocommonstockholders</vt:lpstr>
      <vt:lpstr>z_GMEG0H0133_MO_IS_Otherincomeexpense</vt:lpstr>
      <vt:lpstr>z_GMEG0H0133_MO_IS_provisionforincometaxes</vt:lpstr>
      <vt:lpstr>z_GMEG0H0133_MO_IS_researchanddevelopment</vt:lpstr>
      <vt:lpstr>z_GMEG0H0133_MO_IS_Restructuringandother</vt:lpstr>
      <vt:lpstr>z_GMEG0H0133_MO_IS_selling</vt:lpstr>
      <vt:lpstr>z_GMEG0H0133_MO_IS_Servicesandother</vt:lpstr>
      <vt:lpstr>z_GMEG0H0133_MO_IS_Servicesandother_1</vt:lpstr>
      <vt:lpstr>z_GMEG0H0133_MO_IS_totalcostofrevenues</vt:lpstr>
      <vt:lpstr>z_GMEG0H0133_MO_IS_totaloperatingexpenses</vt:lpstr>
      <vt:lpstr>z_GMEG0H0133_MO_IS_totalrevenues</vt:lpstr>
      <vt:lpstr>z_GMEG0H0133_MO_MA_AddbackDAMargin</vt:lpstr>
      <vt:lpstr>z_GMEG0H0133_MO_MA_AddbackSBCMargin</vt:lpstr>
      <vt:lpstr>z_GMEG0H0133_MO_MA_AdjustedEBITDAMargin</vt:lpstr>
      <vt:lpstr>z_GMEG0H0133_MO_MA_AdjustedEBITMargin</vt:lpstr>
      <vt:lpstr>z_GMEG0H0133_MO_MA_AutomotiveGrossMargin</vt:lpstr>
      <vt:lpstr>z_GMEG0H0133_MO_MA_AutomotiveLeasingGrossMargin</vt:lpstr>
      <vt:lpstr>z_GMEG0H0133_MO_MA_AverageFXRate</vt:lpstr>
      <vt:lpstr>z_GMEG0H0133_MO_MA_COGSMargin_3</vt:lpstr>
      <vt:lpstr>z_GMEG0H0133_MO_MA_COGSMarginExcludingDA_1</vt:lpstr>
      <vt:lpstr>z_GMEG0H0133_MO_MA_consensusestimatesadjustedebitdamargin</vt:lpstr>
      <vt:lpstr>z_GMEG0H0133_MO_MA_ConsensusEstimatesAdjustedEBITMargin</vt:lpstr>
      <vt:lpstr>z_GMEG0H0133_MO_MA_consensusestimatesgrossmargin</vt:lpstr>
      <vt:lpstr>z_GMEG0H0133_MO_MA_EBITDAMargin</vt:lpstr>
      <vt:lpstr>z_GMEG0H0133_MO_MA_EBITMargin</vt:lpstr>
      <vt:lpstr>z_GMEG0H0133_MO_MA_EnergygenerationandstorageGrossMargin</vt:lpstr>
      <vt:lpstr>z_GMEG0H0133_MO_MA_EVSalesAvg</vt:lpstr>
      <vt:lpstr>z_GMEG0H0133_MO_MA_GrossMargin_3</vt:lpstr>
      <vt:lpstr>z_GMEG0H0133_MO_MA_GrossMarginExcludingDA_1</vt:lpstr>
      <vt:lpstr>z_GMEG0H0133_MO_MA_RDMargin_1</vt:lpstr>
      <vt:lpstr>z_GMEG0H0133_MO_MA_ServicesandotherGrossMargin</vt:lpstr>
      <vt:lpstr>z_GMEG0H0133_MO_MA_SGAMargin_1</vt:lpstr>
      <vt:lpstr>z_GMEG0H0133_MO_MA_StockPriceTradingCurAvg</vt:lpstr>
      <vt:lpstr>z_GMEG0H0133_MO_OS_Accountspayable</vt:lpstr>
      <vt:lpstr>z_GMEG0H0133_MO_OS_AccountspayableYYChange</vt:lpstr>
      <vt:lpstr>z_GMEG0H0133_MO_OS_Accountsreceivable</vt:lpstr>
      <vt:lpstr>z_GMEG0H0133_MO_OS_AccountsreceivableYYChange</vt:lpstr>
      <vt:lpstr>z_GMEG0H0133_MO_OS_Accruedliabilitiesandother</vt:lpstr>
      <vt:lpstr>z_GMEG0H0133_MO_OS_AccruedliabilitiesandotherYYChange</vt:lpstr>
      <vt:lpstr>z_GMEG0H0133_MO_OS_AccruedWarrantyBoP_1</vt:lpstr>
      <vt:lpstr>z_GMEG0H0133_MO_OS_AccruedWarrantyEoP_1</vt:lpstr>
      <vt:lpstr>z_GMEG0H0133_MO_OS_Accumulateddepreciation</vt:lpstr>
      <vt:lpstr>z_GMEG0H0133_MO_OS_Additionaldeferredrevenuerecordedinautomotiveleasingrevenueasaresultofearlycancellationofresalevalueguarantee</vt:lpstr>
      <vt:lpstr>z_GMEG0H0133_MO_OS_Additionaldepreciationexpenserecordedincostofautomotiverevenuesasaresultofearlycancellationofresalevalueguarantee_1</vt:lpstr>
      <vt:lpstr>z_GMEG0H0133_MO_OS_Additionaldepreciationexpenserecordedincostofautomotiverevenuesasaresultofexpirationandexercisesofresalevalueguarantee_1</vt:lpstr>
      <vt:lpstr>z_GMEG0H0133_MO_OS_Additionalresalerevenuerecordedinautomotiveleasingrevenueasaresultofearlycancellationofresalevalueguarantee</vt:lpstr>
      <vt:lpstr>z_GMEG0H0133_MO_OS_Additionalwarrantyaccruedfromadoptionofthenewrevenuestandard_1</vt:lpstr>
      <vt:lpstr>z_GMEG0H0133_MO_OS_Additiontooperatingleasevehiclesbalance</vt:lpstr>
      <vt:lpstr>z_GMEG0H0133_MO_OS_AdjustedEBIT</vt:lpstr>
      <vt:lpstr>z_GMEG0H0133_MO_OS_AdjustedEBITMargin</vt:lpstr>
      <vt:lpstr>z_GMEG0H0133_MO_OS_Amortizationofdeferredrevenueandshorttermcollateralizedborrowingrecordedinautomotiveleasingrevenue_1</vt:lpstr>
      <vt:lpstr>z_GMEG0H0133_MO_OS_Amortizationofleasedassets_1</vt:lpstr>
      <vt:lpstr>z_GMEG0H0133_MO_OS_Asiarevenue_1</vt:lpstr>
      <vt:lpstr>z_GMEG0H0133_MO_OS_AssetFinancinginPeriod_1</vt:lpstr>
      <vt:lpstr>z_GMEG0H0133_MO_OS_Assumedwarrantyliabilityfromacquisition_1</vt:lpstr>
      <vt:lpstr>z_GMEG0H0133_MO_OS_automotivecogs</vt:lpstr>
      <vt:lpstr>z_GMEG0H0133_MO_OS_AutomotiveCOGSmix</vt:lpstr>
      <vt:lpstr>z_GMEG0H0133_MO_OS_Automotivegrossprofit</vt:lpstr>
      <vt:lpstr>z_GMEG0H0133_MO_OS_AutomotiveGrossProfit_1</vt:lpstr>
      <vt:lpstr>z_GMEG0H0133_MO_OS_AutomotiveGrossProfitMargin</vt:lpstr>
      <vt:lpstr>z_GMEG0H0133_MO_OS_automotiveleasingcogs</vt:lpstr>
      <vt:lpstr>z_GMEG0H0133_MO_OS_AutomotiveleasingCOGS_3</vt:lpstr>
      <vt:lpstr>z_GMEG0H0133_MO_OS_AutomotiveleasingCOGSexclDA</vt:lpstr>
      <vt:lpstr>z_GMEG0H0133_MO_OS_AutomotiveleasingCOGSmix</vt:lpstr>
      <vt:lpstr>z_GMEG0H0133_MO_OS_AutomotiveLeasingGrossMargin</vt:lpstr>
      <vt:lpstr>z_GMEG0H0133_MO_OS_AutomotiveLeasingGrossProfit</vt:lpstr>
      <vt:lpstr>z_GMEG0H0133_MO_OS_Automotiveleasinggrossprofit_1</vt:lpstr>
      <vt:lpstr>z_GMEG0H0133_MO_OS_automotiveleasingrevenue</vt:lpstr>
      <vt:lpstr>z_GMEG0H0133_MO_OS_AutomotiveLeasingRevenue_3</vt:lpstr>
      <vt:lpstr>z_GMEG0H0133_MO_OS_Automotiveleasingrevenue_4</vt:lpstr>
      <vt:lpstr>z_GMEG0H0133_MO_OS_Automotiveleasingrevenuemix</vt:lpstr>
      <vt:lpstr>z_GMEG0H0133_MO_OS_Automotiveregulatorycredits</vt:lpstr>
      <vt:lpstr>z_GMEG0H0133_MO_OS_Automotiveregulatorycreditsasofautomotivesales</vt:lpstr>
      <vt:lpstr>z_GMEG0H0133_MO_OS_automotiverevenue</vt:lpstr>
      <vt:lpstr>z_GMEG0H0133_MO_OS_AutomotiveRevenue_3</vt:lpstr>
      <vt:lpstr>z_GMEG0H0133_MO_OS_Automotiverevenue_4</vt:lpstr>
      <vt:lpstr>z_GMEG0H0133_MO_OS_Automotiverevenuemix</vt:lpstr>
      <vt:lpstr>z_GMEG0H0133_MO_OS_Automotivesales_3</vt:lpstr>
      <vt:lpstr>z_GMEG0H0133_MO_OS_AutomotiveSalesandAutomotiveLeasingRevenue</vt:lpstr>
      <vt:lpstr>z_GMEG0H0133_MO_OS_Automotivesaleswithoutresalevalueguarantee</vt:lpstr>
      <vt:lpstr>z_GMEG0H0133_MO_OS_Automotivesaleswithresalevalueguarantee</vt:lpstr>
      <vt:lpstr>z_GMEG0H0133_MO_OS_AutomotiveServicesandOtherRevenue</vt:lpstr>
      <vt:lpstr>z_GMEG0H0133_MO_OS_Averagecumulativeinstalledcustomers_1</vt:lpstr>
      <vt:lpstr>z_GMEG0H0133_MO_OS_averagenetsolarenergysystemsleasedandtobeleasedbalance</vt:lpstr>
      <vt:lpstr>z_GMEG0H0133_MO_OS_AverageOperatingLeaseVehicles_1</vt:lpstr>
      <vt:lpstr>z_GMEG0H0133_MO_OS_AverageperUnitPriceofVehiclesDeliveredLeasing_1</vt:lpstr>
      <vt:lpstr>z_GMEG0H0133_MO_OS_CalculatedAggregatevalueofvehiclesdeliveredLeasing_1</vt:lpstr>
      <vt:lpstr>z_GMEG0H0133_MO_OS_CancellationasofBoPoperatingleasevehiclesannualized</vt:lpstr>
      <vt:lpstr>z_GMEG0H0133_MO_OS_Cancellationtooperatingleasevehiclesbalance</vt:lpstr>
      <vt:lpstr>z_GMEG0H0133_MO_OS_Changeinaccumulateddepreciationasofnetoperatingleasevehicles</vt:lpstr>
      <vt:lpstr>z_GMEG0H0133_MO_OS_Changeinaccumulateddepreciationforleasedvehicles</vt:lpstr>
      <vt:lpstr>z_GMEG0H0133_MO_OS_changeinleasedassets</vt:lpstr>
      <vt:lpstr>z_GMEG0H0133_MO_OS_Chinarevenue_1</vt:lpstr>
      <vt:lpstr>z_GMEG0H0133_MO_OS_Chinarevenuemix</vt:lpstr>
      <vt:lpstr>z_GMEG0H0133_MO_OS_CommercialMWinstalled_1</vt:lpstr>
      <vt:lpstr>z_GMEG0H0133_MO_OS_ConsensusEstimatesAdjustedEBIT</vt:lpstr>
      <vt:lpstr>z_GMEG0H0133_MO_OS_ConsensusEstimatesAdjustedEBITMargin</vt:lpstr>
      <vt:lpstr>z_GMEG0H0133_MO_OS_ConsensusEstimatesGrossMargin</vt:lpstr>
      <vt:lpstr>z_GMEG0H0133_MO_OS_ConsensusEstimatesNetRevenue</vt:lpstr>
      <vt:lpstr>z_GMEG0H0133_MO_OS_ContractedMWDeployed_1</vt:lpstr>
      <vt:lpstr>z_GMEG0H0133_MO_OS_Costperwatt_1</vt:lpstr>
      <vt:lpstr>z_GMEG0H0133_MO_OS_Cumulativeenergycontracts_1</vt:lpstr>
      <vt:lpstr>z_GMEG0H0133_MO_OS_CumulativeinstalledcustomersBOP_1</vt:lpstr>
      <vt:lpstr>z_GMEG0H0133_MO_OS_CumulativeinstalledcustomersEOP_1</vt:lpstr>
      <vt:lpstr>z_GMEG0H0133_MO_OS_Cumulativemegawattsdeployed_1</vt:lpstr>
      <vt:lpstr>z_GMEG0H0133_MO_OS_Cumulativemegawattsinstalled_1</vt:lpstr>
      <vt:lpstr>z_GMEG0H0133_MO_OS_Customerdeposits</vt:lpstr>
      <vt:lpstr>z_GMEG0H0133_MO_OS_CustomerdepositsYYChange</vt:lpstr>
      <vt:lpstr>z_GMEG0H0133_MO_OS_CybertruckTeslaSemiannualproductioncapacityinTexas</vt:lpstr>
      <vt:lpstr>z_GMEG0H0133_MO_OS_CybertruckTeslaSemicapacityutilization</vt:lpstr>
      <vt:lpstr>z_GMEG0H0133_MO_OS_CybertruckTeslaSemideliveriesasofproduction</vt:lpstr>
      <vt:lpstr>z_GMEG0H0133_MO_OS_CybertruckTeslaSemiproduction</vt:lpstr>
      <vt:lpstr>z_GMEG0H0133_MO_OS_CybertruckTeslaSemiproduction_1</vt:lpstr>
      <vt:lpstr>z_GMEG0H0133_MO_OS_Deferredrevenue_2</vt:lpstr>
      <vt:lpstr>z_GMEG0H0133_MO_OS_DeferredRevenueBoP_1</vt:lpstr>
      <vt:lpstr>z_GMEG0H0133_MO_OS_DeferredRevenueEoP_1</vt:lpstr>
      <vt:lpstr>z_GMEG0H0133_MO_OS_DeferredrevenueYYChange</vt:lpstr>
      <vt:lpstr>z_GMEG0H0133_MO_OS_DeliveriesnotsubjecttoOperatingLease</vt:lpstr>
      <vt:lpstr>z_GMEG0H0133_MO_OS_DepreciationCost_1</vt:lpstr>
      <vt:lpstr>z_GMEG0H0133_MO_OS_Depreciationexpenserecordedincostofautomotiverevenues_1</vt:lpstr>
      <vt:lpstr>z_GMEG0H0133_MO_OS_Destinationchargerconnectors_1</vt:lpstr>
      <vt:lpstr>z_GMEG0H0133_MO_OS_Differenceofgrosscostperoperatingleasevehicleandimpliedpricepervehicle</vt:lpstr>
      <vt:lpstr>z_GMEG0H0133_MO_OS_EBIT</vt:lpstr>
      <vt:lpstr>z_GMEG0H0133_MO_OS_EBITMargin</vt:lpstr>
      <vt:lpstr>z_GMEG0H0133_MO_OS_energygenerationandstoragecogs</vt:lpstr>
      <vt:lpstr>z_GMEG0H0133_MO_OS_EnergygenerationandstorageCOGSmix</vt:lpstr>
      <vt:lpstr>z_GMEG0H0133_MO_OS_Energygenerationandstoragegrossprofit</vt:lpstr>
      <vt:lpstr>z_GMEG0H0133_MO_OS_EnergyGenerationandStorageGrossProfit_1</vt:lpstr>
      <vt:lpstr>z_GMEG0H0133_MO_OS_EnergyGenerationandStorageGrossProfitMargin</vt:lpstr>
      <vt:lpstr>z_GMEG0H0133_MO_OS_Energygenerationandstorageleasing_1</vt:lpstr>
      <vt:lpstr>z_GMEG0H0133_MO_OS_Energygenerationandstorageleasinggrowth</vt:lpstr>
      <vt:lpstr>z_GMEG0H0133_MO_OS_energygenerationandstoragerevenue</vt:lpstr>
      <vt:lpstr>z_GMEG0H0133_MO_OS_EnergyGenerationandStorageRevenue_2</vt:lpstr>
      <vt:lpstr>z_GMEG0H0133_MO_OS_Energygenerationandstoragerevenue_4</vt:lpstr>
      <vt:lpstr>z_GMEG0H0133_MO_OS_EnergyGenerationandStorageRevenueGrowth</vt:lpstr>
      <vt:lpstr>z_GMEG0H0133_MO_OS_Energygenerationandstoragerevenuemix</vt:lpstr>
      <vt:lpstr>z_GMEG0H0133_MO_OS_Energygenerationandstoragesales_1</vt:lpstr>
      <vt:lpstr>z_GMEG0H0133_MO_OS_Energygenerationandstoragesalesgrowth</vt:lpstr>
      <vt:lpstr>z_GMEG0H0133_MO_OS_EOPOperatingleasevehiclecount</vt:lpstr>
      <vt:lpstr>z_GMEG0H0133_MO_OS_EoPOperatingLeaseVehicleCount_1</vt:lpstr>
      <vt:lpstr>z_GMEG0H0133_MO_OS_Europerevenue_1</vt:lpstr>
      <vt:lpstr>z_GMEG0H0133_MO_OS_GAcostperwatt_1</vt:lpstr>
      <vt:lpstr>z_GMEG0H0133_MO_OS_Globalinventory</vt:lpstr>
      <vt:lpstr>z_GMEG0H0133_MO_OS_GlobalInventory_1</vt:lpstr>
      <vt:lpstr>z_GMEG0H0133_MO_OS_GrossCostofOperatingLeaseVehicles</vt:lpstr>
      <vt:lpstr>z_GMEG0H0133_MO_OS_Grosscostperoperatingleasevehicle</vt:lpstr>
      <vt:lpstr>z_GMEG0H0133_MO_OS_GrossMargin</vt:lpstr>
      <vt:lpstr>z_GMEG0H0133_MO_OS_GrossProfit</vt:lpstr>
      <vt:lpstr>z_GMEG0H0133_MO_OS_GrowthinModel3andModelYcarsdelivered</vt:lpstr>
      <vt:lpstr>z_GMEG0H0133_MO_OS_GrowthinModelSandModelXcarsdelivered</vt:lpstr>
      <vt:lpstr>z_GMEG0H0133_MO_OS_GrowthinTotalDeliveries</vt:lpstr>
      <vt:lpstr>z_GMEG0H0133_MO_OS_Growthintrucksdelivered</vt:lpstr>
      <vt:lpstr>z_GMEG0H0133_MO_OS_impliedpriceperdelivery</vt:lpstr>
      <vt:lpstr>z_GMEG0H0133_MO_OS_ImpliedPricePerDelivery_1</vt:lpstr>
      <vt:lpstr>z_GMEG0H0133_MO_OS_Increaseininventoryfromvehiclesreturned_1</vt:lpstr>
      <vt:lpstr>z_GMEG0H0133_MO_OS_Increaseinoperatingleasevehicles_1</vt:lpstr>
      <vt:lpstr>z_GMEG0H0133_MO_OS_Increaseinrelatevalueguarantee_1</vt:lpstr>
      <vt:lpstr>z_GMEG0H0133_MO_OS_Installationcostperwatt_1</vt:lpstr>
      <vt:lpstr>z_GMEG0H0133_MO_OS_Interestonleaseliabilities_1</vt:lpstr>
      <vt:lpstr>z_GMEG0H0133_MO_OS_Inventory</vt:lpstr>
      <vt:lpstr>z_GMEG0H0133_MO_OS_InventoryYYChange</vt:lpstr>
      <vt:lpstr>z_GMEG0H0133_MO_OS_Megawattsdeployed_1</vt:lpstr>
      <vt:lpstr>z_GMEG0H0133_MO_OS_Megawattsinstalled_1</vt:lpstr>
      <vt:lpstr>z_GMEG0H0133_MO_OS_Mobileservicefleet_1</vt:lpstr>
      <vt:lpstr>z_GMEG0H0133_MO_OS_Model3andModelYcarsdelivered</vt:lpstr>
      <vt:lpstr>z_GMEG0H0133_MO_OS_Model3andModelYCarsDelivered_1</vt:lpstr>
      <vt:lpstr>z_GMEG0H0133_MO_OS_Model3annualproductioncapacityinShanghai</vt:lpstr>
      <vt:lpstr>z_GMEG0H0133_MO_OS_model3carsdelivered</vt:lpstr>
      <vt:lpstr>z_GMEG0H0133_MO_OS_Model3ModelYannualproductioncapacityinBerlin</vt:lpstr>
      <vt:lpstr>z_GMEG0H0133_MO_OS_Model3ModelYannualproductioncapacityinFremont</vt:lpstr>
      <vt:lpstr>z_GMEG0H0133_MO_OS_Model3ModelYannualproductioncapacityinTexas</vt:lpstr>
      <vt:lpstr>z_GMEG0H0133_MO_OS_Model3ModelYcapacityutilization</vt:lpstr>
      <vt:lpstr>z_GMEG0H0133_MO_OS_Model3Ydeliveriesasofproduction</vt:lpstr>
      <vt:lpstr>z_GMEG0H0133_MO_OS_Model3Ydeliveriesmix</vt:lpstr>
      <vt:lpstr>z_GMEG0H0133_MO_OS_Model3Ydeliveriessubjecttoleaseaccounting</vt:lpstr>
      <vt:lpstr>z_GMEG0H0133_MO_OS_Model3Yproduction</vt:lpstr>
      <vt:lpstr>z_GMEG0H0133_MO_OS_Model3Yproduction_1</vt:lpstr>
      <vt:lpstr>z_GMEG0H0133_MO_OS_Model3Ysoldunderleaseaccounting</vt:lpstr>
      <vt:lpstr>z_GMEG0H0133_MO_OS_ModelSandModelXcarsdelivered</vt:lpstr>
      <vt:lpstr>z_GMEG0H0133_MO_OS_ModelSandModelXCarsDelivered_1</vt:lpstr>
      <vt:lpstr>z_GMEG0H0133_MO_OS_ModelSandModelXleasedvehiclecumulativegrowth_1</vt:lpstr>
      <vt:lpstr>z_GMEG0H0133_MO_OS_ModelSandModelXleasedvehiclegrowth_1</vt:lpstr>
      <vt:lpstr>z_GMEG0H0133_MO_OS_modelscarsdelivered</vt:lpstr>
      <vt:lpstr>z_GMEG0H0133_MO_OS_ModelSModelXannualproductioncapacityinFremont</vt:lpstr>
      <vt:lpstr>z_GMEG0H0133_MO_OS_ModelSModelXcapacityutilization</vt:lpstr>
      <vt:lpstr>z_GMEG0H0133_MO_OS_ModelSXdeliveriesasofproduction</vt:lpstr>
      <vt:lpstr>z_GMEG0H0133_MO_OS_ModelSXdeliveriesmix</vt:lpstr>
      <vt:lpstr>z_GMEG0H0133_MO_OS_ModelSXdeliveriessubjecttoleaseaccounting</vt:lpstr>
      <vt:lpstr>z_GMEG0H0133_MO_OS_ModelSXproduction</vt:lpstr>
      <vt:lpstr>z_GMEG0H0133_MO_OS_ModelSXproduction_1</vt:lpstr>
      <vt:lpstr>z_GMEG0H0133_MO_OS_ModelSXsoldunderleaseaccounting</vt:lpstr>
      <vt:lpstr>z_GMEG0H0133_MO_OS_modelxcarsdelivered</vt:lpstr>
      <vt:lpstr>z_GMEG0H0133_MO_OS_NetChange_3</vt:lpstr>
      <vt:lpstr>z_GMEG0H0133_MO_OS_Netchangesinliabilityforpreexistingwarrantiesincludingexpirationsandforeignexchangeimpact_1</vt:lpstr>
      <vt:lpstr>z_GMEG0H0133_MO_OS_Netherlandsrevenue_1</vt:lpstr>
      <vt:lpstr>z_GMEG0H0133_MO_OS_Netherlandsrevenuemix</vt:lpstr>
      <vt:lpstr>z_GMEG0H0133_MO_OS_Netincreaseindeferredrevenuefromnewvehicledeliveriesandreclassificationofcollateralizedborrowingfromlongtermtoshortterm_1</vt:lpstr>
      <vt:lpstr>z_GMEG0H0133_MO_OS_NetOperatingLeaseVehicles_2</vt:lpstr>
      <vt:lpstr>z_GMEG0H0133_MO_OS_netsolarenergysystemsleasedandtobeleasedbop</vt:lpstr>
      <vt:lpstr>z_GMEG0H0133_MO_OS_netsolarenergysystemsleasedandtobeleasedeop</vt:lpstr>
      <vt:lpstr>z_GMEG0H0133_MO_OS_NetSolarEnergySystemsLeasedandtobeLeasedEoP_1</vt:lpstr>
      <vt:lpstr>z_GMEG0H0133_MO_OS_NorthAmericarevenue_1</vt:lpstr>
      <vt:lpstr>z_GMEG0H0133_MO_OS_Norwayrevenue_1</vt:lpstr>
      <vt:lpstr>z_GMEG0H0133_MO_OS_Norwayrevenuemix</vt:lpstr>
      <vt:lpstr>z_GMEG0H0133_MO_OS_Onetimeoperatingitems</vt:lpstr>
      <vt:lpstr>z_GMEG0H0133_MO_OS_OperatingExpenseForecasting</vt:lpstr>
      <vt:lpstr>z_GMEG0H0133_MO_OS_Operatingleaseexpense_1</vt:lpstr>
      <vt:lpstr>z_GMEG0H0133_MO_OS_OperatingLeaseVehicleCountAvg</vt:lpstr>
      <vt:lpstr>z_GMEG0H0133_MO_OS_OperatingLeaseVehicleCountBoP</vt:lpstr>
      <vt:lpstr>z_GMEG0H0133_MO_OS_OperatingLeaseVehiclesBOP_1</vt:lpstr>
      <vt:lpstr>z_GMEG0H0133_MO_OS_OperatingLeaseVehiclesEOP_1</vt:lpstr>
      <vt:lpstr>z_GMEG0H0133_MO_OS_Otherinternationalrevenue_1</vt:lpstr>
      <vt:lpstr>z_GMEG0H0133_MO_OS_Otherinternationalrevenuemix</vt:lpstr>
      <vt:lpstr>z_GMEG0H0133_MO_OS_Otherrevenue_1</vt:lpstr>
      <vt:lpstr>z_GMEG0H0133_MO_OS_Otherrevenuemix</vt:lpstr>
      <vt:lpstr>z_GMEG0H0133_MO_OS_Prepaidexpensesandothercurrentassets</vt:lpstr>
      <vt:lpstr>z_GMEG0H0133_MO_OS_PrepaidexpensesandothercurrentassetsYYChange</vt:lpstr>
      <vt:lpstr>z_GMEG0H0133_MO_OS_Provisionforwarranty_1</vt:lpstr>
      <vt:lpstr>z_GMEG0H0133_MO_OS_QQAutomotiveleasingrevenuegrowth</vt:lpstr>
      <vt:lpstr>z_GMEG0H0133_MO_OS_QQAutomotiverevenuegrowth</vt:lpstr>
      <vt:lpstr>z_GMEG0H0133_MO_OS_QQAutomotiveSalesandAutomotiveLeasingRevenueGrowth</vt:lpstr>
      <vt:lpstr>z_GMEG0H0133_MO_OS_QQAutomotiveservicesandotherrevenuegrowth</vt:lpstr>
      <vt:lpstr>z_GMEG0H0133_MO_OS_QQCybertruckTeslaSemiproductiongrowth</vt:lpstr>
      <vt:lpstr>z_GMEG0H0133_MO_OS_QQdeliveriesnotsubjecttooperatingleasegrowth</vt:lpstr>
      <vt:lpstr>z_GMEG0H0133_MO_OS_QQdeliveriesnotsubjecttooperatingleasegrowth_1</vt:lpstr>
      <vt:lpstr>z_GMEG0H0133_MO_OS_QQEnergygenerationandstoragerevenuegrowth</vt:lpstr>
      <vt:lpstr>z_GMEG0H0133_MO_OS_QQEoPoperatingleasevehiclecountgrowth</vt:lpstr>
      <vt:lpstr>z_GMEG0H0133_MO_OS_QQimpliedpriceperdeliverygrowth</vt:lpstr>
      <vt:lpstr>z_GMEG0H0133_MO_OS_QQimpliedpriceperdeliverygrowth_1</vt:lpstr>
      <vt:lpstr>z_GMEG0H0133_MO_OS_QQModel3andModelYcarsdeliveredgrowth</vt:lpstr>
      <vt:lpstr>z_GMEG0H0133_MO_OS_QQModel3Yproductiongrowth</vt:lpstr>
      <vt:lpstr>z_GMEG0H0133_MO_OS_QQModelSandModelXcarsdeliveredgrowth</vt:lpstr>
      <vt:lpstr>z_GMEG0H0133_MO_OS_QQModelSXproductiongrowth</vt:lpstr>
      <vt:lpstr>z_GMEG0H0133_MO_OS_QQOperatingleasevehiclecountgrowthEoP</vt:lpstr>
      <vt:lpstr>z_GMEG0H0133_MO_OS_QQServicesandOtherRevenuegrowth</vt:lpstr>
      <vt:lpstr>z_GMEG0H0133_MO_OS_QQtotaldeliveriesgrowth</vt:lpstr>
      <vt:lpstr>z_GMEG0H0133_MO_OS_QQTotaldeliveriesgrowth_1</vt:lpstr>
      <vt:lpstr>z_GMEG0H0133_MO_OS_QQtotalproductiongrowth</vt:lpstr>
      <vt:lpstr>z_GMEG0H0133_MO_OS_QQtotalproductiongrowth_1</vt:lpstr>
      <vt:lpstr>z_GMEG0H0133_MO_OS_QQTotalrevenuegrowth</vt:lpstr>
      <vt:lpstr>z_GMEG0H0133_MO_OS_QQTrucksdeliveredgrowth</vt:lpstr>
      <vt:lpstr>z_GMEG0H0133_MO_OS_RDExpense</vt:lpstr>
      <vt:lpstr>z_GMEG0H0133_MO_OS_RDMargin</vt:lpstr>
      <vt:lpstr>z_GMEG0H0133_MO_OS_Reclassificationfromlongtermtoshorttermcollateralizedborrowing_1</vt:lpstr>
      <vt:lpstr>z_GMEG0H0133_MO_OS_Recognitionofdeferredrevenueresultingfromreturnofvehicleundertradeinprogramexpirationandexercisesofresalevalueguarantee_1</vt:lpstr>
      <vt:lpstr>z_GMEG0H0133_MO_OS_Releaseofresalevalueguaranteeresultingfromexpirationofresalevalueguarantee_1</vt:lpstr>
      <vt:lpstr>z_GMEG0H0133_MO_OS_Releaseofresalevalueguaranteeresultingfromreturnofvehicleundertradeinprogramandexercises_1</vt:lpstr>
      <vt:lpstr>z_GMEG0H0133_MO_OS_RenewalMWDeployed_1</vt:lpstr>
      <vt:lpstr>z_GMEG0H0133_MO_OS_RentExpense_1</vt:lpstr>
      <vt:lpstr>z_GMEG0H0133_MO_OS_ResaleValueGuaranteeLiabilityBoP_1</vt:lpstr>
      <vt:lpstr>z_GMEG0H0133_MO_OS_ResaleValueGuaranteeLiabilityEoP_1</vt:lpstr>
      <vt:lpstr>z_GMEG0H0133_MO_OS_ResidentialMWinstalled_1</vt:lpstr>
      <vt:lpstr>z_GMEG0H0133_MO_OS_Residentialsolarcashloan</vt:lpstr>
      <vt:lpstr>z_GMEG0H0133_MO_OS_Revenue_3</vt:lpstr>
      <vt:lpstr>z_GMEG0H0133_MO_OS_Revenuepercumulativeinstalledcustomers_1</vt:lpstr>
      <vt:lpstr>z_GMEG0H0133_MO_OS_revenuerecognizedonaverageleasedassets</vt:lpstr>
      <vt:lpstr>z_GMEG0H0133_MO_OS_Roadsterdeliveriesmix</vt:lpstr>
      <vt:lpstr>z_GMEG0H0133_MO_OS_Salescostperwatt_1</vt:lpstr>
      <vt:lpstr>z_GMEG0H0133_MO_OS_ServicesandotherCOGS</vt:lpstr>
      <vt:lpstr>z_GMEG0H0133_MO_OS_ServicesandotherCOGSmix</vt:lpstr>
      <vt:lpstr>z_GMEG0H0133_MO_OS_Servicesandothergrossprofit</vt:lpstr>
      <vt:lpstr>z_GMEG0H0133_MO_OS_ServicesandOtherGrossProfit_1</vt:lpstr>
      <vt:lpstr>z_GMEG0H0133_MO_OS_ServicesandOtherGrossProfitMargin</vt:lpstr>
      <vt:lpstr>z_GMEG0H0133_MO_OS_Servicesandotherrevenue</vt:lpstr>
      <vt:lpstr>z_GMEG0H0133_MO_OS_Servicesandotherrevenue_4</vt:lpstr>
      <vt:lpstr>z_GMEG0H0133_MO_OS_ServicesandOtherRevenue_5</vt:lpstr>
      <vt:lpstr>z_GMEG0H0133_MO_OS_Servicesandotherrevenueasofautomotivesalesandautomotiveleasingrevenue</vt:lpstr>
      <vt:lpstr>z_GMEG0H0133_MO_OS_Servicesandotherrevenuemix</vt:lpstr>
      <vt:lpstr>z_GMEG0H0133_MO_OS_SGAExpense</vt:lpstr>
      <vt:lpstr>z_GMEG0H0133_MO_OS_SGAMargin</vt:lpstr>
      <vt:lpstr>z_GMEG0H0133_MO_OS_Solardeployed</vt:lpstr>
      <vt:lpstr>z_GMEG0H0133_MO_OS_Solardeployed_1</vt:lpstr>
      <vt:lpstr>z_GMEG0H0133_MO_OS_Storagedeployed</vt:lpstr>
      <vt:lpstr>z_GMEG0H0133_MO_OS_Storagedeployed_1</vt:lpstr>
      <vt:lpstr>z_GMEG0H0133_MO_OS_Storeandservicelocations_1</vt:lpstr>
      <vt:lpstr>z_GMEG0H0133_MO_OS_Superchargerconnectors_1</vt:lpstr>
      <vt:lpstr>z_GMEG0H0133_MO_OS_Superchargerstations_1</vt:lpstr>
      <vt:lpstr>z_GMEG0H0133_MO_OS_Teslaroadstersdelivered</vt:lpstr>
      <vt:lpstr>z_GMEG0H0133_MO_OS_TeslaRoadstersdelivered_1</vt:lpstr>
      <vt:lpstr>z_GMEG0H0133_MO_OS_totalcogs</vt:lpstr>
      <vt:lpstr>z_GMEG0H0133_MO_OS_TotalCOGSMix</vt:lpstr>
      <vt:lpstr>z_GMEG0H0133_MO_OS_totaldeliveries</vt:lpstr>
      <vt:lpstr>z_GMEG0H0133_MO_OS_TotalDeliveries_4</vt:lpstr>
      <vt:lpstr>z_GMEG0H0133_MO_OS_TotalDeliveries_5</vt:lpstr>
      <vt:lpstr>z_GMEG0H0133_MO_OS_TotalDeliveriesasofProduction</vt:lpstr>
      <vt:lpstr>z_GMEG0H0133_MO_OS_TotalDeliveriesMix</vt:lpstr>
      <vt:lpstr>z_GMEG0H0133_MO_OS_TotalDeliveriessubjecttoleaseaccounting</vt:lpstr>
      <vt:lpstr>z_GMEG0H0133_MO_OS_Totalfinanceleaseexpense_1</vt:lpstr>
      <vt:lpstr>z_GMEG0H0133_MO_OS_TotalGrossMargin</vt:lpstr>
      <vt:lpstr>z_GMEG0H0133_MO_OS_TotalGrossProfit</vt:lpstr>
      <vt:lpstr>z_GMEG0H0133_MO_OS_TotalLeaseExpense_1</vt:lpstr>
      <vt:lpstr>z_GMEG0H0133_MO_OS_TotalModel3ModelYAnnualProductionCapacity</vt:lpstr>
      <vt:lpstr>z_GMEG0H0133_MO_OS_totalmodelsandmodelxcarsdelivered</vt:lpstr>
      <vt:lpstr>z_GMEG0H0133_MO_OS_TotalProduction</vt:lpstr>
      <vt:lpstr>z_GMEG0H0133_MO_OS_TotalProduction_1</vt:lpstr>
      <vt:lpstr>z_GMEG0H0133_MO_OS_totalrevenue</vt:lpstr>
      <vt:lpstr>z_GMEG0H0133_MO_OS_TotalRevenue_5</vt:lpstr>
      <vt:lpstr>z_GMEG0H0133_MO_OS_TotalRevenue_6</vt:lpstr>
      <vt:lpstr>z_GMEG0H0133_MO_OS_TotalRevenue_8</vt:lpstr>
      <vt:lpstr>z_GMEG0H0133_MO_OS_TotalRevenueMix</vt:lpstr>
      <vt:lpstr>z_GMEG0H0133_MO_OS_TotalRevenueMix_1</vt:lpstr>
      <vt:lpstr>z_GMEG0H0133_MO_OS_Trucksdelivered</vt:lpstr>
      <vt:lpstr>z_GMEG0H0133_MO_OS_Trucksdelivered_1</vt:lpstr>
      <vt:lpstr>z_GMEG0H0133_MO_OS_TrucksDelivered_2</vt:lpstr>
      <vt:lpstr>z_GMEG0H0133_MO_OS_Trucksdeliveriesmix</vt:lpstr>
      <vt:lpstr>z_GMEG0H0133_MO_OS_UnitedStatesrevenue_1</vt:lpstr>
      <vt:lpstr>z_GMEG0H0133_MO_OS_UnitedStatesrevenuemix</vt:lpstr>
      <vt:lpstr>z_GMEG0H0133_MO_OS_ValueofMWDeployed_1</vt:lpstr>
      <vt:lpstr>z_GMEG0H0133_MO_OS_VehiclesDeliveredLeasing_1</vt:lpstr>
      <vt:lpstr>z_GMEG0H0133_MO_OS_Vehiclessoldunderleaseaccounting</vt:lpstr>
      <vt:lpstr>z_GMEG0H0133_MO_OS_Warrantycostsincurred_1</vt:lpstr>
      <vt:lpstr>z_GMEG0H0133_MO_OS_YoYchangeinPriceperDelivery</vt:lpstr>
      <vt:lpstr>z_GMEG0H0133_MO_OS_YYAutomotiveleasingrevenuegrowth</vt:lpstr>
      <vt:lpstr>z_GMEG0H0133_MO_OS_YYautomotiveregulatorycreditsrevenue</vt:lpstr>
      <vt:lpstr>z_GMEG0H0133_MO_OS_YYAutomotiverevenuegrowth</vt:lpstr>
      <vt:lpstr>z_GMEG0H0133_MO_OS_YYAutomotiveSalesandAutomotiveLeasingRevenueGrowth</vt:lpstr>
      <vt:lpstr>z_GMEG0H0133_MO_OS_YYautomotivesalesgrowth</vt:lpstr>
      <vt:lpstr>z_GMEG0H0133_MO_OS_YYAutomotiveservicesandotherrevenuegrowth</vt:lpstr>
      <vt:lpstr>z_GMEG0H0133_MO_OS_YYCybertruckTeslaSemiproductiongrowth</vt:lpstr>
      <vt:lpstr>z_GMEG0H0133_MO_OS_YYdeliveriesnotsubjecttooperatingleasegrowth</vt:lpstr>
      <vt:lpstr>z_GMEG0H0133_MO_OS_YYdeliveriesnotsubjecttooperatingleasegrowth_1</vt:lpstr>
      <vt:lpstr>z_GMEG0H0133_MO_OS_YYEnergygenerationandstoragerevenuegrowth</vt:lpstr>
      <vt:lpstr>z_GMEG0H0133_MO_OS_YYEoPoperatingleasevehiclecountgrowth</vt:lpstr>
      <vt:lpstr>z_GMEG0H0133_MO_OS_YYgrowthinadjustedEBIT</vt:lpstr>
      <vt:lpstr>z_GMEG0H0133_MO_OS_YYgrowthinEBIT</vt:lpstr>
      <vt:lpstr>z_GMEG0H0133_MO_OS_YYgrowthinGrossprofit</vt:lpstr>
      <vt:lpstr>z_GMEG0H0133_MO_OS_YYgrowthinRDexpense</vt:lpstr>
      <vt:lpstr>z_GMEG0H0133_MO_OS_YYgrowthinSGAexpense</vt:lpstr>
      <vt:lpstr>z_GMEG0H0133_MO_OS_YYgrowthofgrosscostperoperatingleasevehicle</vt:lpstr>
      <vt:lpstr>z_GMEG0H0133_MO_OS_YYimpliedpriceperdeliverygrowth</vt:lpstr>
      <vt:lpstr>z_GMEG0H0133_MO_OS_YYimprovementinadjustedEBITMargin</vt:lpstr>
      <vt:lpstr>z_GMEG0H0133_MO_OS_YYimprovementinAutomotiveGrossProfitMargin</vt:lpstr>
      <vt:lpstr>z_GMEG0H0133_MO_OS_YYimprovementinAutomotiveLeasingGrossProfitMargin</vt:lpstr>
      <vt:lpstr>z_GMEG0H0133_MO_OS_YYimprovementinEBITMargin</vt:lpstr>
      <vt:lpstr>z_GMEG0H0133_MO_OS_YYimprovementinEnergyGenerationandStorageGrossProfitMargin</vt:lpstr>
      <vt:lpstr>z_GMEG0H0133_MO_OS_YYimprovementinGrossMargin</vt:lpstr>
      <vt:lpstr>z_GMEG0H0133_MO_OS_YYimprovementinRDMargin</vt:lpstr>
      <vt:lpstr>z_GMEG0H0133_MO_OS_YYimprovementinServicesandOtherGrossProfitMargin</vt:lpstr>
      <vt:lpstr>z_GMEG0H0133_MO_OS_YYimprovementinSGAMargin</vt:lpstr>
      <vt:lpstr>z_GMEG0H0133_MO_OS_YYLeaserevenuepervehiclegrowth</vt:lpstr>
      <vt:lpstr>z_GMEG0H0133_MO_OS_YYModel3Yproductiongrowth</vt:lpstr>
      <vt:lpstr>z_GMEG0H0133_MO_OS_YYModelSXproductiongrowth</vt:lpstr>
      <vt:lpstr>z_GMEG0H0133_MO_OS_YYNetSolarEnergySystemsLeasedandtobeLeasedAvgGrowth</vt:lpstr>
      <vt:lpstr>z_GMEG0H0133_MO_OS_YYOperatingleasevehiclecountgrowthEoP</vt:lpstr>
      <vt:lpstr>z_GMEG0H0133_MO_OS_YYServicesandotherrevenuegrowth</vt:lpstr>
      <vt:lpstr>z_GMEG0H0133_MO_OS_YYSolardeployedgrowth</vt:lpstr>
      <vt:lpstr>z_GMEG0H0133_MO_OS_YYStoragedeployedgrowth</vt:lpstr>
      <vt:lpstr>z_GMEG0H0133_MO_OS_YYtotaldeliveriesgrowth</vt:lpstr>
      <vt:lpstr>z_GMEG0H0133_MO_OS_YYtotalproductiongrowth</vt:lpstr>
      <vt:lpstr>z_GMEG0H0133_MO_OS_YYtotalproductiongrowth_1</vt:lpstr>
      <vt:lpstr>z_GMEG0H0133_MO_OS_YYTotalrevenuegrowth</vt:lpstr>
      <vt:lpstr>z_GMEG0H0133_MO_RIS_AdjustedEarningsPerShareWAD</vt:lpstr>
      <vt:lpstr>z_GMEG0H0133_MO_RIS_AdjustedEBITDANoAdjustments</vt:lpstr>
      <vt:lpstr>z_GMEG0H0133_MO_RIS_AdjustedEBITNoAdjustments</vt:lpstr>
      <vt:lpstr>z_GMEG0H0133_MO_RIS_AdjustedNetIncome</vt:lpstr>
      <vt:lpstr>z_GMEG0H0133_MO_RIS_AdjustedSharesOutstandingWAD</vt:lpstr>
      <vt:lpstr>z_GMEG0H0133_MO_RIS_AdjustmentsforConvertibleSecurities</vt:lpstr>
      <vt:lpstr>z_GMEG0H0133_MO_RIS_COGS_1</vt:lpstr>
      <vt:lpstr>z_GMEG0H0133_MO_RIS_consensusestimatesadjustedearningspersharewad</vt:lpstr>
      <vt:lpstr>z_GMEG0H0133_MO_RIS_ConsensusEstimatesAdjustedEBIT_1</vt:lpstr>
      <vt:lpstr>z_GMEG0H0133_MO_RIS_consensusestimatesadjustedebitda</vt:lpstr>
      <vt:lpstr>z_GMEG0H0133_MO_RIS_consensusestimatesnetrevenue</vt:lpstr>
      <vt:lpstr>z_GMEG0H0133_MO_RIS_Currenttax</vt:lpstr>
      <vt:lpstr>z_GMEG0H0133_MO_RIS_Currenttaxrate</vt:lpstr>
      <vt:lpstr>z_GMEG0H0133_MO_RIS_DA</vt:lpstr>
      <vt:lpstr>z_GMEG0H0133_MO_RIS_Deferredtax</vt:lpstr>
      <vt:lpstr>z_GMEG0H0133_MO_RIS_Deferredtaxrate</vt:lpstr>
      <vt:lpstr>z_GMEG0H0133_MO_RIS_DilutedNetIncometoCommonShareholders</vt:lpstr>
      <vt:lpstr>z_GMEG0H0133_MO_RIS_DiscontinuedOperations</vt:lpstr>
      <vt:lpstr>z_GMEG0H0133_MO_RIS_EarningsPerShareWAB</vt:lpstr>
      <vt:lpstr>z_GMEG0H0133_MO_RIS_EarningsPerShareWAD</vt:lpstr>
      <vt:lpstr>z_GMEG0H0133_MO_RIS_EBIT_2</vt:lpstr>
      <vt:lpstr>z_GMEG0H0133_MO_RIS_EBITDA</vt:lpstr>
      <vt:lpstr>z_GMEG0H0133_MO_RIS_EBT</vt:lpstr>
      <vt:lpstr>z_GMEG0H0133_MO_RIS_GrossProfit</vt:lpstr>
      <vt:lpstr>z_GMEG0H0133_MO_RIS_Interestexpense</vt:lpstr>
      <vt:lpstr>z_GMEG0H0133_MO_RIS_Interestincome</vt:lpstr>
      <vt:lpstr>z_GMEG0H0133_MO_RIS_NetIncomefromContinuedOperation</vt:lpstr>
      <vt:lpstr>z_GMEG0H0133_MO_RIS_NetIncometoCommonShareholders</vt:lpstr>
      <vt:lpstr>z_GMEG0H0133_MO_RIS_NetIncometoNCI</vt:lpstr>
      <vt:lpstr>z_GMEG0H0133_MO_RIS_NetRevenue</vt:lpstr>
      <vt:lpstr>z_GMEG0H0133_MO_RIS_NonGAAPAdjustments</vt:lpstr>
      <vt:lpstr>z_GMEG0H0133_MO_RIS_NonGAAPAdjustmentsforDilutiveSecurities</vt:lpstr>
      <vt:lpstr>z_GMEG0H0133_MO_RIS_Onetimeitem</vt:lpstr>
      <vt:lpstr>z_GMEG0H0133_MO_RIS_Onetimeoperatingitems</vt:lpstr>
      <vt:lpstr>z_GMEG0H0133_MO_RIS_Otheritems</vt:lpstr>
      <vt:lpstr>z_GMEG0H0133_MO_RIS_Preferredstockdividends</vt:lpstr>
      <vt:lpstr>z_GMEG0H0133_MO_RIS_RD_1</vt:lpstr>
      <vt:lpstr>z_GMEG0H0133_MO_RIS_SBC</vt:lpstr>
      <vt:lpstr>z_GMEG0H0133_MO_RIS_SGA_1</vt:lpstr>
      <vt:lpstr>z_GMEG0H0133_MO_RIS_SharesOutstandingWAB</vt:lpstr>
      <vt:lpstr>z_GMEG0H0133_MO_RIS_SharesOutstandingWAD</vt:lpstr>
      <vt:lpstr>z_GMEG0H0133_MO_Section_AN_AdjustedNumbers</vt:lpstr>
      <vt:lpstr>z_GMEG0H0133_MO_Section_BS_BalanceSheet</vt:lpstr>
      <vt:lpstr>z_GMEG0H0133_MO_Section_BS_ModelChecks</vt:lpstr>
      <vt:lpstr>z_GMEG0H0133_MO_Section_BSS_BalanceSheetSummary</vt:lpstr>
      <vt:lpstr>z_GMEG0H0133_MO_Section_CCFS_CumulativeCashFlowStatement</vt:lpstr>
      <vt:lpstr>z_GMEG0H0133_MO_Section_CFS_CashFlowStatement</vt:lpstr>
      <vt:lpstr>z_GMEG0H0133_MO_Section_CFSum_CashFlowSummary</vt:lpstr>
      <vt:lpstr>z_GMEG0H0133_MO_Section_DAF_DAForecasting</vt:lpstr>
      <vt:lpstr>z_GMEG0H0133_MO_Section_IS_IncomeStatement</vt:lpstr>
      <vt:lpstr>z_GMEG0H0133_MO_Section_MA_MarginAnalysis</vt:lpstr>
      <vt:lpstr>z_GMEG0H0133_MO_Section_OS_Canalyst</vt:lpstr>
      <vt:lpstr>z_GMEG0H0133_MO_Section_OS_KeyMetricsAccruedWarrantyFS</vt:lpstr>
      <vt:lpstr>z_GMEG0H0133_MO_Section_OS_KeyMetricsDetailedAccountActivityrelatedtoResaleValueGuaranteeProgramandLeaseMDA_1</vt:lpstr>
      <vt:lpstr>z_GMEG0H0133_MO_Section_OS_KeyMetricsHistorical</vt:lpstr>
      <vt:lpstr>z_GMEG0H0133_MO_Section_OS_KeyMetricsLeaseCostandRentExpenseFS_1</vt:lpstr>
      <vt:lpstr>z_GMEG0H0133_MO_Section_OS_KeyMetricsLeasedVehiclesDeliveredHistorical_1</vt:lpstr>
      <vt:lpstr>z_GMEG0H0133_MO_Section_OS_KeyMetricsRevenueBreakdownbyGeographyFS</vt:lpstr>
      <vt:lpstr>z_GMEG0H0133_MO_Section_OS_KeyMetricsSolarCitySegmentHistorical_1</vt:lpstr>
      <vt:lpstr>z_GMEG0H0133_MO_Section_OS_KeyMetricsSupportNetworkPR</vt:lpstr>
      <vt:lpstr>z_GMEG0H0133_MO_Section_OS_OperatingStatsAutomotiveDeliveriesPR</vt:lpstr>
      <vt:lpstr>z_GMEG0H0133_MO_Section_OS_OperatingStatsAutomotiveLeaseMDA</vt:lpstr>
      <vt:lpstr>z_GMEG0H0133_MO_Section_OS_OperatingStatsEnergyGenerationandStorageMDA</vt:lpstr>
      <vt:lpstr>z_GMEG0H0133_MO_Section_OS_OperatingStatsProductionandCapacityPR</vt:lpstr>
      <vt:lpstr>z_GMEG0H0133_MO_Section_OS_SBCDABreakdownFSPR</vt:lpstr>
      <vt:lpstr>z_GMEG0H0133_MO_Section_OS_SegmentedResultsBreakdownFS</vt:lpstr>
      <vt:lpstr>z_GMEG0H0133_MO_Section_OS_SegmentedResultsRevenueBreakdownbyGeographyHistorical_1</vt:lpstr>
      <vt:lpstr>z_GMEG0H0133_MO_Section_OS_SegmentedResultsServicesandOtherFSPR</vt:lpstr>
      <vt:lpstr>z_GMEG0H0133_MO_Section_OS_SegmentSummary</vt:lpstr>
      <vt:lpstr>z_GMEG0H0133_MO_Section_OS_WorkingCapitalForecasting</vt:lpstr>
      <vt:lpstr>z_GMEG0H0133_MO_Section_RIS_RevisedIncomeStatement</vt:lpstr>
      <vt:lpstr>z_GMEG0H0133_MO_Section_SNA_Canalyst</vt:lpstr>
      <vt:lpstr>z_GMEG0H0133_MO_Section_TB_Tables</vt:lpstr>
      <vt:lpstr>z_GMEG0H0133_MO_Section_VA_Valuation</vt:lpstr>
      <vt:lpstr>z_GMEG0H0133_MO_Unstructured_SNA_AdjustedEarningsPerShareWAD</vt:lpstr>
      <vt:lpstr>z_GMEG0H0133_MO_Unstructured_SNA_AdjustedEBITDANoAdjustments</vt:lpstr>
      <vt:lpstr>z_GMEG0H0133_MO_Unstructured_SNA_AdjustedEBITNoAdjustments</vt:lpstr>
      <vt:lpstr>z_GMEG0H0133_MO_Unstructured_SNA_Avg</vt:lpstr>
      <vt:lpstr>z_GMEG0H0133_MO_Unstructured_SNA_Bloomberg</vt:lpstr>
      <vt:lpstr>z_GMEG0H0133_MO_Unstructured_SNA_Bloomberg_1</vt:lpstr>
      <vt:lpstr>z_GMEG0H0133_MO_Unstructured_SNA_Bloomberg_2</vt:lpstr>
      <vt:lpstr>z_GMEG0H0133_MO_Unstructured_SNA_Bloomberg_3</vt:lpstr>
      <vt:lpstr>z_GMEG0H0133_MO_Unstructured_SNA_CapitalIQ</vt:lpstr>
      <vt:lpstr>z_GMEG0H0133_MO_Unstructured_SNA_CapitalIQ_1</vt:lpstr>
      <vt:lpstr>z_GMEG0H0133_MO_Unstructured_SNA_CapitalIQ_2</vt:lpstr>
      <vt:lpstr>z_GMEG0H0133_MO_Unstructured_SNA_CapitalIQ_3</vt:lpstr>
      <vt:lpstr>z_GMEG0H0133_MO_Unstructured_SNA_CFOsubtotalFYSumofQs</vt:lpstr>
      <vt:lpstr>z_GMEG0H0133_MO_Unstructured_SNA_ConsensusEstimatesAdjustedEarningsPerShareWAD</vt:lpstr>
      <vt:lpstr>z_GMEG0H0133_MO_Unstructured_SNA_ConsensusEstimatesAdjustedEBIT_1</vt:lpstr>
      <vt:lpstr>z_GMEG0H0133_MO_Unstructured_SNA_ConsensusEstimatesAdjustedEBITDA</vt:lpstr>
      <vt:lpstr>z_GMEG0H0133_MO_Unstructured_SNA_ConsensusEstimatesCapex</vt:lpstr>
      <vt:lpstr>z_GMEG0H0133_MO_Unstructured_SNA_ConsensusEstimatesCashFlowPerDilutedShare</vt:lpstr>
      <vt:lpstr>z_GMEG0H0133_MO_Unstructured_SNA_ConsensusEstimatesGrossMargin</vt:lpstr>
      <vt:lpstr>z_GMEG0H0133_MO_Unstructured_SNA_ConsensusEstimatesNetRevenue</vt:lpstr>
      <vt:lpstr>z_GMEG0H0133_MO_Unstructured_SNA_ConsensusEstimateTable</vt:lpstr>
      <vt:lpstr>z_GMEG0H0133_MO_Unstructured_SNA_CurrentFiscalYear</vt:lpstr>
      <vt:lpstr>z_GMEG0H0133_MO_Unstructured_SNA_DataSourceIndex</vt:lpstr>
      <vt:lpstr>z_GMEG0H0133_MO_Unstructured_SNA_EVEBITDAAvg</vt:lpstr>
      <vt:lpstr>z_GMEG0H0133_MO_Unstructured_SNA_FactSet</vt:lpstr>
      <vt:lpstr>z_GMEG0H0133_MO_Unstructured_SNA_FactSet_1</vt:lpstr>
      <vt:lpstr>z_GMEG0H0133_MO_Unstructured_SNA_FactSet_2</vt:lpstr>
      <vt:lpstr>z_GMEG0H0133_MO_Unstructured_SNA_FactSet_3</vt:lpstr>
      <vt:lpstr>z_GMEG0H0133_MO_Unstructured_SNA_FirstForecastFiscalYear</vt:lpstr>
      <vt:lpstr>z_GMEG0H0133_MO_Unstructured_SNA_FiscalPeriodStartDate</vt:lpstr>
      <vt:lpstr>z_GMEG0H0133_MO_Unstructured_SNA_FXAverageRealTimeOffSource</vt:lpstr>
      <vt:lpstr>z_GMEG0H0133_MO_Unstructured_SNA_FYorFQ</vt:lpstr>
      <vt:lpstr>z_GMEG0H0133_MO_Unstructured_SNA_GeneralTable</vt:lpstr>
      <vt:lpstr>z_GMEG0H0133_MO_Unstructured_SNA_High</vt:lpstr>
      <vt:lpstr>z_GMEG0H0133_MO_Unstructured_SNA_IsHistoricalPeriod</vt:lpstr>
      <vt:lpstr>z_GMEG0H0133_MO_Unstructured_SNA_KeyOutputs</vt:lpstr>
      <vt:lpstr>z_GMEG0H0133_MO_Unstructured_SNA_LastPrice</vt:lpstr>
      <vt:lpstr>z_GMEG0H0133_MO_Unstructured_SNA_LastPriceDate</vt:lpstr>
      <vt:lpstr>z_GMEG0H0133_MO_Unstructured_SNA_LastPriceFormula</vt:lpstr>
      <vt:lpstr>z_GMEG0H0133_MO_Unstructured_SNA_Low</vt:lpstr>
      <vt:lpstr>z_GMEG0H0133_MO_Unstructured_SNA_ModelSheetCurrencyHardcoded</vt:lpstr>
      <vt:lpstr>z_GMEG0H0133_MO_Unstructured_SNA_MostRecentFiscalPeriodMRFP</vt:lpstr>
      <vt:lpstr>z_GMEG0H0133_MO_Unstructured_SNA_MostRecentFX</vt:lpstr>
      <vt:lpstr>z_GMEG0H0133_MO_Unstructured_SNA_MostRecentFXHardcoded</vt:lpstr>
      <vt:lpstr>z_GMEG0H0133_MO_Unstructured_SNA_MRFPColumnNumber</vt:lpstr>
      <vt:lpstr>z_GMEG0H0133_MO_Unstructured_SNA_NASDAQTSLA</vt:lpstr>
      <vt:lpstr>z_GMEG0H0133_MO_Unstructured_SNA_NetRevenue</vt:lpstr>
      <vt:lpstr>z_GMEG0H0133_MO_Unstructured_SNA_PEAvg</vt:lpstr>
      <vt:lpstr>z_GMEG0H0133_MO_Unstructured_SNA_Period</vt:lpstr>
      <vt:lpstr>z_GMEG0H0133_MO_Unstructured_SNA_RealTimeOffSource</vt:lpstr>
      <vt:lpstr>z_GMEG0H0133_MO_Unstructured_SNA_RealTimeOffSource_1</vt:lpstr>
      <vt:lpstr>z_GMEG0H0133_MO_Unstructured_SNA_RealTimeOffSource_2</vt:lpstr>
      <vt:lpstr>z_GMEG0H0133_MO_Unstructured_SNA_RealTimeOffSource_3</vt:lpstr>
      <vt:lpstr>z_GMEG0H0133_MO_Unstructured_SNA_RealTimeStockPrice</vt:lpstr>
      <vt:lpstr>z_GMEG0H0133_MO_Unstructured_SNA_Refinitiv</vt:lpstr>
      <vt:lpstr>z_GMEG0H0133_MO_Unstructured_SNA_Refinitiv_1</vt:lpstr>
      <vt:lpstr>z_GMEG0H0133_MO_Unstructured_SNA_Refinitiv_2</vt:lpstr>
      <vt:lpstr>z_GMEG0H0133_MO_Unstructured_SNA_Refinitiv_3</vt:lpstr>
      <vt:lpstr>z_GMEG0H0133_MO_Unstructured_SNA_StockAverageRealTimeOffSource</vt:lpstr>
      <vt:lpstr>z_GMEG0H0133_MO_Unstructured_SNA_StockHighRealTimeOffSource</vt:lpstr>
      <vt:lpstr>z_GMEG0H0133_MO_Unstructured_SNA_StockLowRealTimeOffSource</vt:lpstr>
      <vt:lpstr>z_GMEG0H0133_MO_Unstructured_SNA_StockPriceTable</vt:lpstr>
      <vt:lpstr>z_GMEG0H0133_MO_Unstructured_SNA_TickerSymbol</vt:lpstr>
      <vt:lpstr>z_GMEG0H0133_MO_Unstructured_SNA_TradeCurrency</vt:lpstr>
      <vt:lpstr>z_GMEG0H0133_MO_Unstructured_SNA_TradeCurrencyHardcoded</vt:lpstr>
      <vt:lpstr>z_GMEG0H0133_MO_Unstructured_SNA_TSLAOQ</vt:lpstr>
      <vt:lpstr>z_GMEG0H0133_MO_Unstructured_SNA_TSLAUS</vt:lpstr>
      <vt:lpstr>z_GMEG0H0133_MO_Unstructured_SNA_TSLAUS_1</vt:lpstr>
      <vt:lpstr>z_GMEG0H0133_MO_Unstructured_SNA_ValuationToggleTable</vt:lpstr>
      <vt:lpstr>z_GMEG0H0133_MO_VA_EnterpriseValueAverage</vt:lpstr>
      <vt:lpstr>z_GMEG0H0133_MO_VA_enterprisevaluecomponents</vt:lpstr>
      <vt:lpstr>z_GMEG0H0133_MO_VA_EVEBITDAAverage</vt:lpstr>
      <vt:lpstr>z_GMEG0H0133_MO_VA_FCFYieldtoAverageEnterpriseValue</vt:lpstr>
      <vt:lpstr>z_GMEG0H0133_MO_VA_FCFYieldtoAverageMarketCap</vt:lpstr>
      <vt:lpstr>z_GMEG0H0133_MO_VA_MarketCapAverage</vt:lpstr>
      <vt:lpstr>z_GMEG0H0133_MO_VA_NoncontrollingInterest</vt:lpstr>
      <vt:lpstr>z_GMEG0H0133_MO_VA_OtherEVComponents</vt:lpstr>
      <vt:lpstr>z_GMEG0H0133_MO_VA_PCFAverage</vt:lpstr>
      <vt:lpstr>z_GMEG0H0133_MO_VA_PEAverage</vt:lpstr>
      <vt:lpstr>z_GMEG0H0133_MO_VA_PreferredShares</vt:lpstr>
      <vt:lpstr>z_GMEG0H0133_MO_VA_StockAvg</vt:lpstr>
      <vt:lpstr>z_GMEG0H0133_MO_VA_StockHigh</vt:lpstr>
      <vt:lpstr>z_GMEG0H0133_MO_VA_StockLow</vt:lpstr>
      <vt:lpstr>z_GMEG0H0133_MO_VA_StockPriceAverage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Canalyst</dc:creator>
  <cp:keywords/>
  <dc:description/>
  <cp:lastModifiedBy>Canalyst (RZ)</cp:lastModifiedBy>
  <cp:lastPrinted>2021-07-26T20:42:24Z</cp:lastPrinted>
  <dcterms:created xsi:type="dcterms:W3CDTF">2016-04-22T21:21:10Z</dcterms:created>
  <dcterms:modified xsi:type="dcterms:W3CDTF">2022-01-16T20:12:59Z</dcterms:modified>
  <cp:category/>
</cp:coreProperties>
</file>